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slicers/slicer3.xml" ContentType="application/vnd.ms-excel.slicer+xml"/>
  <Override PartName="/xl/drawings/drawing7.xml" ContentType="application/vnd.openxmlformats-officedocument.drawing+xml"/>
  <Override PartName="/xl/tables/table4.xml" ContentType="application/vnd.openxmlformats-officedocument.spreadsheetml.table+xml"/>
  <Override PartName="/xl/slicers/slicer4.xml" ContentType="application/vnd.ms-excel.slicer+xml"/>
  <Override PartName="/xl/drawings/drawing8.xml" ContentType="application/vnd.openxmlformats-officedocument.drawing+xml"/>
  <Override PartName="/xl/tables/table5.xml" ContentType="application/vnd.openxmlformats-officedocument.spreadsheetml.table+xml"/>
  <Override PartName="/xl/slicers/slicer5.xml" ContentType="application/vnd.ms-excel.slicer+xml"/>
  <Override PartName="/xl/drawings/drawing9.xml" ContentType="application/vnd.openxmlformats-officedocument.drawing+xml"/>
  <Override PartName="/xl/tables/table6.xml" ContentType="application/vnd.openxmlformats-officedocument.spreadsheetml.table+xml"/>
  <Override PartName="/xl/slicers/slicer6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vt.desjardins.com\Caisses\815302661\Usagers\MATDUBRE\Mes Documents\"/>
    </mc:Choice>
  </mc:AlternateContent>
  <xr:revisionPtr revIDLastSave="0" documentId="13_ncr:1_{F0E2836A-B7B1-46CB-BAF9-79C1B851DEEF}" xr6:coauthVersionLast="41" xr6:coauthVersionMax="41" xr10:uidLastSave="{00000000-0000-0000-0000-000000000000}"/>
  <bookViews>
    <workbookView xWindow="-120" yWindow="-120" windowWidth="19440" windowHeight="15000" tabRatio="835" activeTab="4" xr2:uid="{6E99C8F7-A49E-4542-84A0-729223D3B418}"/>
  </bookViews>
  <sheets>
    <sheet name="Accueil" sheetId="14" r:id="rId1"/>
    <sheet name="Portail d'objectifs" sheetId="15" r:id="rId2"/>
    <sheet name="Données" sheetId="17" state="hidden" r:id="rId3"/>
    <sheet name="Sommaire" sheetId="1" r:id="rId4"/>
    <sheet name="Coordos" sheetId="18" r:id="rId5"/>
    <sheet name="#1" sheetId="19" r:id="rId6"/>
    <sheet name="#2" sheetId="20" r:id="rId7"/>
    <sheet name="#4" sheetId="21" r:id="rId8"/>
    <sheet name="#5" sheetId="22" r:id="rId9"/>
    <sheet name="#6" sheetId="23" r:id="rId10"/>
  </sheets>
  <definedNames>
    <definedName name="Segment_Semaine_débutant_le">#N/A</definedName>
    <definedName name="Segment_Semaine_débutant_le1">#N/A</definedName>
    <definedName name="Segment_Semaine_débutant_le2">#N/A</definedName>
    <definedName name="Segment_Semaine_débutant_le3">#N/A</definedName>
    <definedName name="Segment_Semaine_débutant_le4">#N/A</definedName>
    <definedName name="Segment_Semaine_débutant_le5">#N/A</definedName>
    <definedName name="_xlnm.Print_Area" localSheetId="5">'#1'!$B$2:$V$333</definedName>
    <definedName name="_xlnm.Print_Area" localSheetId="6">'#2'!$B$2:$V$333</definedName>
    <definedName name="_xlnm.Print_Area" localSheetId="7">'#4'!$B$2:$V$333</definedName>
    <definedName name="_xlnm.Print_Area" localSheetId="8">'#5'!$B$2:$V$333</definedName>
    <definedName name="_xlnm.Print_Area" localSheetId="9">'#6'!$B$2:$V$333</definedName>
    <definedName name="_xlnm.Print_Area" localSheetId="1">'Portail d''objectifs'!$B$2:$V$333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1"/>
        <x14:slicerCache r:id="rId12"/>
        <x14:slicerCache r:id="rId13"/>
        <x14:slicerCache r:id="rId14"/>
        <x14:slicerCache r:id="rId15"/>
        <x14:slicerCache r:id="rId1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329" i="23" l="1"/>
  <c r="AA329" i="23" s="1"/>
  <c r="Z328" i="23"/>
  <c r="AA328" i="23" s="1"/>
  <c r="Z327" i="23"/>
  <c r="AA327" i="23" s="1"/>
  <c r="Z325" i="23"/>
  <c r="AA325" i="23" s="1"/>
  <c r="G325" i="23"/>
  <c r="F325" i="23"/>
  <c r="C325" i="23" s="1"/>
  <c r="E325" i="23"/>
  <c r="D325" i="23"/>
  <c r="Z324" i="23"/>
  <c r="AA324" i="23" s="1"/>
  <c r="G324" i="23"/>
  <c r="F324" i="23"/>
  <c r="E324" i="23"/>
  <c r="D324" i="23"/>
  <c r="C324" i="23"/>
  <c r="Z323" i="23"/>
  <c r="G323" i="23"/>
  <c r="F323" i="23"/>
  <c r="C323" i="23" s="1"/>
  <c r="E323" i="23"/>
  <c r="D323" i="23"/>
  <c r="Z322" i="23"/>
  <c r="G322" i="23"/>
  <c r="F322" i="23"/>
  <c r="C322" i="23" s="1"/>
  <c r="E322" i="23"/>
  <c r="D322" i="23"/>
  <c r="Z321" i="23"/>
  <c r="AA321" i="23" s="1"/>
  <c r="G321" i="23"/>
  <c r="F321" i="23"/>
  <c r="C321" i="23" s="1"/>
  <c r="E321" i="23"/>
  <c r="D321" i="23"/>
  <c r="Z320" i="23"/>
  <c r="G320" i="23"/>
  <c r="F320" i="23"/>
  <c r="E320" i="23"/>
  <c r="D320" i="23"/>
  <c r="C320" i="23"/>
  <c r="Z319" i="23"/>
  <c r="G319" i="23"/>
  <c r="F319" i="23"/>
  <c r="C319" i="23" s="1"/>
  <c r="E319" i="23"/>
  <c r="D319" i="23"/>
  <c r="Z318" i="23"/>
  <c r="AA318" i="23" s="1"/>
  <c r="G318" i="23"/>
  <c r="F318" i="23"/>
  <c r="C318" i="23" s="1"/>
  <c r="E318" i="23"/>
  <c r="D318" i="23"/>
  <c r="Z317" i="23"/>
  <c r="G317" i="23"/>
  <c r="F317" i="23"/>
  <c r="C317" i="23" s="1"/>
  <c r="E317" i="23"/>
  <c r="D317" i="23"/>
  <c r="Z316" i="23"/>
  <c r="G316" i="23"/>
  <c r="F316" i="23"/>
  <c r="E316" i="23"/>
  <c r="D316" i="23"/>
  <c r="C316" i="23"/>
  <c r="Z315" i="23"/>
  <c r="AA315" i="23" s="1"/>
  <c r="G315" i="23"/>
  <c r="F315" i="23"/>
  <c r="C315" i="23" s="1"/>
  <c r="E315" i="23"/>
  <c r="D315" i="23"/>
  <c r="Z314" i="23"/>
  <c r="G314" i="23"/>
  <c r="F314" i="23"/>
  <c r="C314" i="23" s="1"/>
  <c r="E314" i="23"/>
  <c r="D314" i="23"/>
  <c r="Z313" i="23"/>
  <c r="G313" i="23"/>
  <c r="F313" i="23"/>
  <c r="C313" i="23" s="1"/>
  <c r="E313" i="23"/>
  <c r="D313" i="23"/>
  <c r="Z312" i="23"/>
  <c r="G312" i="23"/>
  <c r="F312" i="23"/>
  <c r="E312" i="23"/>
  <c r="D312" i="23"/>
  <c r="C312" i="23"/>
  <c r="Z311" i="23"/>
  <c r="G311" i="23"/>
  <c r="F311" i="23"/>
  <c r="C311" i="23" s="1"/>
  <c r="E311" i="23"/>
  <c r="D311" i="23"/>
  <c r="Z310" i="23"/>
  <c r="G310" i="23"/>
  <c r="F310" i="23"/>
  <c r="C310" i="23" s="1"/>
  <c r="E310" i="23"/>
  <c r="D310" i="23"/>
  <c r="Z309" i="23"/>
  <c r="G309" i="23"/>
  <c r="F309" i="23"/>
  <c r="C309" i="23" s="1"/>
  <c r="E309" i="23"/>
  <c r="D309" i="23"/>
  <c r="Z308" i="23"/>
  <c r="AA308" i="23" s="1"/>
  <c r="G308" i="23"/>
  <c r="F308" i="23"/>
  <c r="E308" i="23"/>
  <c r="D308" i="23"/>
  <c r="C308" i="23"/>
  <c r="Z307" i="23"/>
  <c r="G307" i="23"/>
  <c r="F307" i="23"/>
  <c r="C307" i="23" s="1"/>
  <c r="E307" i="23"/>
  <c r="D307" i="23"/>
  <c r="Z306" i="23"/>
  <c r="G306" i="23"/>
  <c r="F306" i="23"/>
  <c r="C306" i="23" s="1"/>
  <c r="E306" i="23"/>
  <c r="D306" i="23"/>
  <c r="Z305" i="23"/>
  <c r="AA305" i="23" s="1"/>
  <c r="G305" i="23"/>
  <c r="F305" i="23"/>
  <c r="C305" i="23" s="1"/>
  <c r="E305" i="23"/>
  <c r="D305" i="23"/>
  <c r="Z304" i="23"/>
  <c r="G304" i="23"/>
  <c r="F304" i="23"/>
  <c r="E304" i="23"/>
  <c r="D304" i="23"/>
  <c r="C304" i="23"/>
  <c r="Z303" i="23"/>
  <c r="G303" i="23"/>
  <c r="F303" i="23"/>
  <c r="C303" i="23" s="1"/>
  <c r="E303" i="23"/>
  <c r="D303" i="23"/>
  <c r="Z302" i="23"/>
  <c r="AA302" i="23" s="1"/>
  <c r="G302" i="23"/>
  <c r="F302" i="23"/>
  <c r="C302" i="23" s="1"/>
  <c r="E302" i="23"/>
  <c r="D302" i="23"/>
  <c r="Z301" i="23"/>
  <c r="AA301" i="23" s="1"/>
  <c r="G301" i="23"/>
  <c r="F301" i="23"/>
  <c r="C301" i="23" s="1"/>
  <c r="E301" i="23"/>
  <c r="D301" i="23"/>
  <c r="Z300" i="23"/>
  <c r="G300" i="23"/>
  <c r="F300" i="23"/>
  <c r="E300" i="23"/>
  <c r="D300" i="23"/>
  <c r="C300" i="23"/>
  <c r="Z299" i="23"/>
  <c r="AA299" i="23" s="1"/>
  <c r="G299" i="23"/>
  <c r="F299" i="23"/>
  <c r="C299" i="23" s="1"/>
  <c r="E299" i="23"/>
  <c r="D299" i="23"/>
  <c r="Z298" i="23"/>
  <c r="AA298" i="23" s="1"/>
  <c r="G298" i="23"/>
  <c r="F298" i="23"/>
  <c r="C298" i="23" s="1"/>
  <c r="E298" i="23"/>
  <c r="D298" i="23"/>
  <c r="Z297" i="23"/>
  <c r="AA297" i="23" s="1"/>
  <c r="G297" i="23"/>
  <c r="F297" i="23"/>
  <c r="C297" i="23" s="1"/>
  <c r="E297" i="23"/>
  <c r="D297" i="23"/>
  <c r="Z296" i="23"/>
  <c r="G296" i="23"/>
  <c r="F296" i="23"/>
  <c r="E296" i="23"/>
  <c r="D296" i="23"/>
  <c r="C296" i="23"/>
  <c r="Z295" i="23"/>
  <c r="AA295" i="23" s="1"/>
  <c r="G295" i="23"/>
  <c r="F295" i="23"/>
  <c r="C295" i="23" s="1"/>
  <c r="E295" i="23"/>
  <c r="D295" i="23"/>
  <c r="Z294" i="23"/>
  <c r="AA294" i="23" s="1"/>
  <c r="G294" i="23"/>
  <c r="F294" i="23"/>
  <c r="C294" i="23" s="1"/>
  <c r="E294" i="23"/>
  <c r="D294" i="23"/>
  <c r="Z293" i="23"/>
  <c r="G293" i="23"/>
  <c r="F293" i="23"/>
  <c r="C293" i="23" s="1"/>
  <c r="E293" i="23"/>
  <c r="D293" i="23"/>
  <c r="Z292" i="23"/>
  <c r="G292" i="23"/>
  <c r="F292" i="23"/>
  <c r="E292" i="23"/>
  <c r="D292" i="23"/>
  <c r="C292" i="23"/>
  <c r="Z291" i="23"/>
  <c r="AA291" i="23" s="1"/>
  <c r="G291" i="23"/>
  <c r="F291" i="23"/>
  <c r="C291" i="23" s="1"/>
  <c r="E291" i="23"/>
  <c r="D291" i="23"/>
  <c r="Z290" i="23"/>
  <c r="G290" i="23"/>
  <c r="F290" i="23"/>
  <c r="C290" i="23" s="1"/>
  <c r="E290" i="23"/>
  <c r="D290" i="23"/>
  <c r="Z289" i="23"/>
  <c r="AA289" i="23" s="1"/>
  <c r="G289" i="23"/>
  <c r="F289" i="23"/>
  <c r="C289" i="23" s="1"/>
  <c r="E289" i="23"/>
  <c r="D289" i="23"/>
  <c r="Z288" i="23"/>
  <c r="AA288" i="23" s="1"/>
  <c r="G288" i="23"/>
  <c r="F288" i="23"/>
  <c r="E288" i="23"/>
  <c r="D288" i="23"/>
  <c r="C288" i="23"/>
  <c r="Z287" i="23"/>
  <c r="G287" i="23"/>
  <c r="F287" i="23"/>
  <c r="C287" i="23" s="1"/>
  <c r="E287" i="23"/>
  <c r="D287" i="23"/>
  <c r="Z286" i="23"/>
  <c r="AA286" i="23" s="1"/>
  <c r="G286" i="23"/>
  <c r="F286" i="23"/>
  <c r="C286" i="23" s="1"/>
  <c r="E286" i="23"/>
  <c r="D286" i="23"/>
  <c r="Z285" i="23"/>
  <c r="AA285" i="23" s="1"/>
  <c r="G285" i="23"/>
  <c r="F285" i="23"/>
  <c r="C285" i="23" s="1"/>
  <c r="E285" i="23"/>
  <c r="D285" i="23"/>
  <c r="Z284" i="23"/>
  <c r="AA284" i="23" s="1"/>
  <c r="G284" i="23"/>
  <c r="F284" i="23"/>
  <c r="E284" i="23"/>
  <c r="D284" i="23"/>
  <c r="C284" i="23"/>
  <c r="Z283" i="23"/>
  <c r="G283" i="23"/>
  <c r="F283" i="23"/>
  <c r="C283" i="23" s="1"/>
  <c r="E283" i="23"/>
  <c r="D283" i="23"/>
  <c r="Z282" i="23"/>
  <c r="AA282" i="23" s="1"/>
  <c r="G282" i="23"/>
  <c r="F282" i="23"/>
  <c r="C282" i="23" s="1"/>
  <c r="E282" i="23"/>
  <c r="D282" i="23"/>
  <c r="Z281" i="23"/>
  <c r="AA281" i="23" s="1"/>
  <c r="G281" i="23"/>
  <c r="F281" i="23"/>
  <c r="C281" i="23" s="1"/>
  <c r="E281" i="23"/>
  <c r="D281" i="23"/>
  <c r="Z280" i="23"/>
  <c r="G280" i="23"/>
  <c r="F280" i="23"/>
  <c r="E280" i="23"/>
  <c r="D280" i="23"/>
  <c r="C280" i="23"/>
  <c r="Z279" i="23"/>
  <c r="AA279" i="23" s="1"/>
  <c r="G279" i="23"/>
  <c r="F279" i="23"/>
  <c r="C279" i="23" s="1"/>
  <c r="E279" i="23"/>
  <c r="D279" i="23"/>
  <c r="Z278" i="23"/>
  <c r="AA278" i="23" s="1"/>
  <c r="G278" i="23"/>
  <c r="F278" i="23"/>
  <c r="C278" i="23" s="1"/>
  <c r="E278" i="23"/>
  <c r="D278" i="23"/>
  <c r="Z277" i="23"/>
  <c r="G277" i="23"/>
  <c r="F277" i="23"/>
  <c r="C277" i="23" s="1"/>
  <c r="E277" i="23"/>
  <c r="D277" i="23"/>
  <c r="Z276" i="23"/>
  <c r="G276" i="23"/>
  <c r="F276" i="23"/>
  <c r="E276" i="23"/>
  <c r="D276" i="23"/>
  <c r="C276" i="23"/>
  <c r="Z275" i="23"/>
  <c r="AA275" i="23" s="1"/>
  <c r="G275" i="23"/>
  <c r="F275" i="23"/>
  <c r="C275" i="23" s="1"/>
  <c r="E275" i="23"/>
  <c r="D275" i="23"/>
  <c r="Z274" i="23"/>
  <c r="G274" i="23"/>
  <c r="F274" i="23"/>
  <c r="C274" i="23" s="1"/>
  <c r="E274" i="23"/>
  <c r="D274" i="23"/>
  <c r="Z273" i="23"/>
  <c r="G273" i="23"/>
  <c r="F273" i="23"/>
  <c r="C273" i="23" s="1"/>
  <c r="E273" i="23"/>
  <c r="D273" i="23"/>
  <c r="Z272" i="23"/>
  <c r="AA272" i="23" s="1"/>
  <c r="G272" i="23"/>
  <c r="F272" i="23"/>
  <c r="E272" i="23"/>
  <c r="D272" i="23"/>
  <c r="C272" i="23"/>
  <c r="Z271" i="23"/>
  <c r="G271" i="23"/>
  <c r="F271" i="23"/>
  <c r="C271" i="23" s="1"/>
  <c r="E271" i="23"/>
  <c r="D271" i="23"/>
  <c r="Z270" i="23"/>
  <c r="G270" i="23"/>
  <c r="F270" i="23"/>
  <c r="C270" i="23" s="1"/>
  <c r="E270" i="23"/>
  <c r="D270" i="23"/>
  <c r="Z269" i="23"/>
  <c r="AA269" i="23" s="1"/>
  <c r="G269" i="23"/>
  <c r="F269" i="23"/>
  <c r="C269" i="23" s="1"/>
  <c r="E269" i="23"/>
  <c r="D269" i="23"/>
  <c r="Z268" i="23"/>
  <c r="AA268" i="23" s="1"/>
  <c r="G268" i="23"/>
  <c r="F268" i="23"/>
  <c r="E268" i="23"/>
  <c r="D268" i="23"/>
  <c r="C268" i="23"/>
  <c r="Z267" i="23"/>
  <c r="G267" i="23"/>
  <c r="F267" i="23"/>
  <c r="C267" i="23" s="1"/>
  <c r="E267" i="23"/>
  <c r="D267" i="23"/>
  <c r="Z266" i="23"/>
  <c r="AA266" i="23" s="1"/>
  <c r="G266" i="23"/>
  <c r="F266" i="23"/>
  <c r="C266" i="23" s="1"/>
  <c r="E266" i="23"/>
  <c r="D266" i="23"/>
  <c r="Z265" i="23"/>
  <c r="AA265" i="23" s="1"/>
  <c r="G265" i="23"/>
  <c r="F265" i="23"/>
  <c r="C265" i="23" s="1"/>
  <c r="E265" i="23"/>
  <c r="D265" i="23"/>
  <c r="Z264" i="23"/>
  <c r="G264" i="23"/>
  <c r="F264" i="23"/>
  <c r="E264" i="23"/>
  <c r="D264" i="23"/>
  <c r="C264" i="23"/>
  <c r="Z263" i="23"/>
  <c r="AA263" i="23" s="1"/>
  <c r="G263" i="23"/>
  <c r="F263" i="23"/>
  <c r="C263" i="23" s="1"/>
  <c r="E263" i="23"/>
  <c r="D263" i="23"/>
  <c r="Z262" i="23"/>
  <c r="AA262" i="23" s="1"/>
  <c r="G262" i="23"/>
  <c r="F262" i="23"/>
  <c r="C262" i="23" s="1"/>
  <c r="E262" i="23"/>
  <c r="D262" i="23"/>
  <c r="Z261" i="23"/>
  <c r="G261" i="23"/>
  <c r="F261" i="23"/>
  <c r="C261" i="23" s="1"/>
  <c r="E261" i="23"/>
  <c r="D261" i="23"/>
  <c r="Z260" i="23"/>
  <c r="G260" i="23"/>
  <c r="F260" i="23"/>
  <c r="E260" i="23"/>
  <c r="D260" i="23"/>
  <c r="C260" i="23"/>
  <c r="Z259" i="23"/>
  <c r="AA259" i="23" s="1"/>
  <c r="G259" i="23"/>
  <c r="F259" i="23"/>
  <c r="C259" i="23" s="1"/>
  <c r="E259" i="23"/>
  <c r="D259" i="23"/>
  <c r="Z258" i="23"/>
  <c r="G258" i="23"/>
  <c r="F258" i="23"/>
  <c r="C258" i="23" s="1"/>
  <c r="E258" i="23"/>
  <c r="D258" i="23"/>
  <c r="Z257" i="23"/>
  <c r="G257" i="23"/>
  <c r="F257" i="23"/>
  <c r="C257" i="23" s="1"/>
  <c r="E257" i="23"/>
  <c r="D257" i="23"/>
  <c r="Z256" i="23"/>
  <c r="AA256" i="23" s="1"/>
  <c r="G256" i="23"/>
  <c r="F256" i="23"/>
  <c r="E256" i="23"/>
  <c r="D256" i="23"/>
  <c r="C256" i="23"/>
  <c r="Z255" i="23"/>
  <c r="G255" i="23"/>
  <c r="F255" i="23"/>
  <c r="C255" i="23" s="1"/>
  <c r="E255" i="23"/>
  <c r="D255" i="23"/>
  <c r="Z254" i="23"/>
  <c r="G254" i="23"/>
  <c r="F254" i="23"/>
  <c r="C254" i="23" s="1"/>
  <c r="E254" i="23"/>
  <c r="D254" i="23"/>
  <c r="Z253" i="23"/>
  <c r="AA253" i="23" s="1"/>
  <c r="G253" i="23"/>
  <c r="F253" i="23"/>
  <c r="C253" i="23" s="1"/>
  <c r="E253" i="23"/>
  <c r="D253" i="23"/>
  <c r="Z252" i="23"/>
  <c r="AA252" i="23" s="1"/>
  <c r="G252" i="23"/>
  <c r="F252" i="23"/>
  <c r="E252" i="23"/>
  <c r="D252" i="23"/>
  <c r="C252" i="23"/>
  <c r="Z251" i="23"/>
  <c r="G251" i="23"/>
  <c r="F251" i="23"/>
  <c r="C251" i="23" s="1"/>
  <c r="E251" i="23"/>
  <c r="D251" i="23"/>
  <c r="Z250" i="23"/>
  <c r="AA250" i="23" s="1"/>
  <c r="G250" i="23"/>
  <c r="F250" i="23"/>
  <c r="C250" i="23" s="1"/>
  <c r="E250" i="23"/>
  <c r="D250" i="23"/>
  <c r="Z249" i="23"/>
  <c r="AA249" i="23" s="1"/>
  <c r="G249" i="23"/>
  <c r="F249" i="23"/>
  <c r="C249" i="23" s="1"/>
  <c r="E249" i="23"/>
  <c r="D249" i="23"/>
  <c r="Z248" i="23"/>
  <c r="G248" i="23"/>
  <c r="F248" i="23"/>
  <c r="E248" i="23"/>
  <c r="D248" i="23"/>
  <c r="C248" i="23"/>
  <c r="Z247" i="23"/>
  <c r="AA247" i="23" s="1"/>
  <c r="G247" i="23"/>
  <c r="F247" i="23"/>
  <c r="C247" i="23" s="1"/>
  <c r="E247" i="23"/>
  <c r="D247" i="23"/>
  <c r="Z246" i="23"/>
  <c r="AA246" i="23" s="1"/>
  <c r="G246" i="23"/>
  <c r="F246" i="23"/>
  <c r="C246" i="23" s="1"/>
  <c r="E246" i="23"/>
  <c r="D246" i="23"/>
  <c r="Z245" i="23"/>
  <c r="G245" i="23"/>
  <c r="F245" i="23"/>
  <c r="C245" i="23" s="1"/>
  <c r="E245" i="23"/>
  <c r="D245" i="23"/>
  <c r="Z244" i="23"/>
  <c r="G244" i="23"/>
  <c r="F244" i="23"/>
  <c r="E244" i="23"/>
  <c r="D244" i="23"/>
  <c r="C244" i="23"/>
  <c r="Z243" i="23"/>
  <c r="AA243" i="23" s="1"/>
  <c r="G243" i="23"/>
  <c r="F243" i="23"/>
  <c r="C243" i="23" s="1"/>
  <c r="E243" i="23"/>
  <c r="D243" i="23"/>
  <c r="Z242" i="23"/>
  <c r="G242" i="23"/>
  <c r="F242" i="23"/>
  <c r="C242" i="23" s="1"/>
  <c r="E242" i="23"/>
  <c r="D242" i="23"/>
  <c r="Z241" i="23"/>
  <c r="G241" i="23"/>
  <c r="F241" i="23"/>
  <c r="C241" i="23" s="1"/>
  <c r="E241" i="23"/>
  <c r="D241" i="23"/>
  <c r="Z240" i="23"/>
  <c r="AA240" i="23" s="1"/>
  <c r="G240" i="23"/>
  <c r="F240" i="23"/>
  <c r="E240" i="23"/>
  <c r="D240" i="23"/>
  <c r="C240" i="23"/>
  <c r="Z239" i="23"/>
  <c r="G239" i="23"/>
  <c r="F239" i="23"/>
  <c r="C239" i="23" s="1"/>
  <c r="E239" i="23"/>
  <c r="D239" i="23"/>
  <c r="Z238" i="23"/>
  <c r="G238" i="23"/>
  <c r="F238" i="23"/>
  <c r="C238" i="23" s="1"/>
  <c r="E238" i="23"/>
  <c r="D238" i="23"/>
  <c r="Z237" i="23"/>
  <c r="AA237" i="23" s="1"/>
  <c r="G237" i="23"/>
  <c r="F237" i="23"/>
  <c r="C237" i="23" s="1"/>
  <c r="E237" i="23"/>
  <c r="D237" i="23"/>
  <c r="Z236" i="23"/>
  <c r="AA236" i="23" s="1"/>
  <c r="G236" i="23"/>
  <c r="F236" i="23"/>
  <c r="E236" i="23"/>
  <c r="D236" i="23"/>
  <c r="C236" i="23"/>
  <c r="Z235" i="23"/>
  <c r="G235" i="23"/>
  <c r="F235" i="23"/>
  <c r="C235" i="23" s="1"/>
  <c r="E235" i="23"/>
  <c r="D235" i="23"/>
  <c r="Z234" i="23"/>
  <c r="AA234" i="23" s="1"/>
  <c r="G234" i="23"/>
  <c r="F234" i="23"/>
  <c r="C234" i="23" s="1"/>
  <c r="E234" i="23"/>
  <c r="D234" i="23"/>
  <c r="Z233" i="23"/>
  <c r="AA233" i="23" s="1"/>
  <c r="G233" i="23"/>
  <c r="F233" i="23"/>
  <c r="C233" i="23" s="1"/>
  <c r="E233" i="23"/>
  <c r="D233" i="23"/>
  <c r="Z232" i="23"/>
  <c r="G232" i="23"/>
  <c r="F232" i="23"/>
  <c r="E232" i="23"/>
  <c r="D232" i="23"/>
  <c r="C232" i="23"/>
  <c r="Z231" i="23"/>
  <c r="AA231" i="23" s="1"/>
  <c r="G231" i="23"/>
  <c r="F231" i="23"/>
  <c r="C231" i="23" s="1"/>
  <c r="E231" i="23"/>
  <c r="D231" i="23"/>
  <c r="Z230" i="23"/>
  <c r="AA230" i="23" s="1"/>
  <c r="G230" i="23"/>
  <c r="F230" i="23"/>
  <c r="C230" i="23" s="1"/>
  <c r="E230" i="23"/>
  <c r="D230" i="23"/>
  <c r="Z229" i="23"/>
  <c r="G229" i="23"/>
  <c r="F229" i="23"/>
  <c r="C229" i="23" s="1"/>
  <c r="E229" i="23"/>
  <c r="D229" i="23"/>
  <c r="Z228" i="23"/>
  <c r="G228" i="23"/>
  <c r="F228" i="23"/>
  <c r="E228" i="23"/>
  <c r="D228" i="23"/>
  <c r="C228" i="23"/>
  <c r="Z227" i="23"/>
  <c r="AA227" i="23" s="1"/>
  <c r="G227" i="23"/>
  <c r="F227" i="23"/>
  <c r="C227" i="23" s="1"/>
  <c r="E227" i="23"/>
  <c r="D227" i="23"/>
  <c r="Z226" i="23"/>
  <c r="G226" i="23"/>
  <c r="F226" i="23"/>
  <c r="C226" i="23" s="1"/>
  <c r="E226" i="23"/>
  <c r="D226" i="23"/>
  <c r="Z225" i="23"/>
  <c r="G225" i="23"/>
  <c r="F225" i="23"/>
  <c r="C225" i="23" s="1"/>
  <c r="E225" i="23"/>
  <c r="D225" i="23"/>
  <c r="Z224" i="23"/>
  <c r="AA224" i="23" s="1"/>
  <c r="G224" i="23"/>
  <c r="F224" i="23"/>
  <c r="E224" i="23"/>
  <c r="D224" i="23"/>
  <c r="C224" i="23"/>
  <c r="Z223" i="23"/>
  <c r="G223" i="23"/>
  <c r="F223" i="23"/>
  <c r="C223" i="23" s="1"/>
  <c r="E223" i="23"/>
  <c r="D223" i="23"/>
  <c r="Z222" i="23"/>
  <c r="G222" i="23"/>
  <c r="F222" i="23"/>
  <c r="C222" i="23" s="1"/>
  <c r="E222" i="23"/>
  <c r="D222" i="23"/>
  <c r="Z221" i="23"/>
  <c r="AA221" i="23" s="1"/>
  <c r="G221" i="23"/>
  <c r="F221" i="23"/>
  <c r="C221" i="23" s="1"/>
  <c r="E221" i="23"/>
  <c r="D221" i="23"/>
  <c r="Z220" i="23"/>
  <c r="AA220" i="23" s="1"/>
  <c r="G220" i="23"/>
  <c r="F220" i="23"/>
  <c r="E220" i="23"/>
  <c r="D220" i="23"/>
  <c r="C220" i="23"/>
  <c r="Z219" i="23"/>
  <c r="G219" i="23"/>
  <c r="F219" i="23"/>
  <c r="C219" i="23" s="1"/>
  <c r="E219" i="23"/>
  <c r="D219" i="23"/>
  <c r="Z218" i="23"/>
  <c r="AA218" i="23" s="1"/>
  <c r="G218" i="23"/>
  <c r="F218" i="23"/>
  <c r="C218" i="23" s="1"/>
  <c r="E218" i="23"/>
  <c r="D218" i="23"/>
  <c r="Z217" i="23"/>
  <c r="AA217" i="23" s="1"/>
  <c r="G217" i="23"/>
  <c r="F217" i="23"/>
  <c r="C217" i="23" s="1"/>
  <c r="E217" i="23"/>
  <c r="D217" i="23"/>
  <c r="Z216" i="23"/>
  <c r="G216" i="23"/>
  <c r="F216" i="23"/>
  <c r="E216" i="23"/>
  <c r="D216" i="23"/>
  <c r="C216" i="23"/>
  <c r="Z215" i="23"/>
  <c r="AA215" i="23" s="1"/>
  <c r="G215" i="23"/>
  <c r="F215" i="23"/>
  <c r="C215" i="23" s="1"/>
  <c r="E215" i="23"/>
  <c r="D215" i="23"/>
  <c r="Z214" i="23"/>
  <c r="AA214" i="23" s="1"/>
  <c r="G214" i="23"/>
  <c r="F214" i="23"/>
  <c r="C214" i="23" s="1"/>
  <c r="E214" i="23"/>
  <c r="D214" i="23"/>
  <c r="Z213" i="23"/>
  <c r="G213" i="23"/>
  <c r="F213" i="23"/>
  <c r="C213" i="23" s="1"/>
  <c r="E213" i="23"/>
  <c r="D213" i="23"/>
  <c r="Z212" i="23"/>
  <c r="G212" i="23"/>
  <c r="F212" i="23"/>
  <c r="E212" i="23"/>
  <c r="D212" i="23"/>
  <c r="C212" i="23"/>
  <c r="Z211" i="23"/>
  <c r="G211" i="23"/>
  <c r="F211" i="23"/>
  <c r="E211" i="23"/>
  <c r="D211" i="23"/>
  <c r="C211" i="23"/>
  <c r="Z210" i="23"/>
  <c r="AA210" i="23" s="1"/>
  <c r="G210" i="23"/>
  <c r="F210" i="23"/>
  <c r="C210" i="23" s="1"/>
  <c r="E210" i="23"/>
  <c r="D210" i="23"/>
  <c r="Z209" i="23"/>
  <c r="AA209" i="23" s="1"/>
  <c r="G209" i="23"/>
  <c r="F209" i="23"/>
  <c r="C209" i="23" s="1"/>
  <c r="E209" i="23"/>
  <c r="D209" i="23"/>
  <c r="Z208" i="23"/>
  <c r="G208" i="23"/>
  <c r="F208" i="23"/>
  <c r="E208" i="23"/>
  <c r="D208" i="23"/>
  <c r="C208" i="23"/>
  <c r="Z207" i="23"/>
  <c r="G207" i="23"/>
  <c r="F207" i="23"/>
  <c r="E207" i="23"/>
  <c r="D207" i="23"/>
  <c r="C207" i="23"/>
  <c r="Z206" i="23"/>
  <c r="G206" i="23"/>
  <c r="F206" i="23"/>
  <c r="C206" i="23" s="1"/>
  <c r="E206" i="23"/>
  <c r="D206" i="23"/>
  <c r="Z205" i="23"/>
  <c r="G205" i="23"/>
  <c r="F205" i="23"/>
  <c r="C205" i="23" s="1"/>
  <c r="E205" i="23"/>
  <c r="D205" i="23"/>
  <c r="Z204" i="23"/>
  <c r="AA204" i="23" s="1"/>
  <c r="G204" i="23"/>
  <c r="F204" i="23"/>
  <c r="E204" i="23"/>
  <c r="D204" i="23"/>
  <c r="C204" i="23"/>
  <c r="Z203" i="23"/>
  <c r="G203" i="23"/>
  <c r="F203" i="23"/>
  <c r="C203" i="23" s="1"/>
  <c r="E203" i="23"/>
  <c r="D203" i="23"/>
  <c r="Z202" i="23"/>
  <c r="G202" i="23"/>
  <c r="AA202" i="23" s="1"/>
  <c r="F202" i="23"/>
  <c r="E202" i="23"/>
  <c r="D202" i="23"/>
  <c r="C202" i="23"/>
  <c r="Z201" i="23"/>
  <c r="AA201" i="23" s="1"/>
  <c r="G201" i="23"/>
  <c r="F201" i="23"/>
  <c r="C201" i="23" s="1"/>
  <c r="E201" i="23"/>
  <c r="D201" i="23"/>
  <c r="Z200" i="23"/>
  <c r="AA200" i="23" s="1"/>
  <c r="G200" i="23"/>
  <c r="F200" i="23"/>
  <c r="E200" i="23"/>
  <c r="D200" i="23"/>
  <c r="C200" i="23"/>
  <c r="Z199" i="23"/>
  <c r="AA199" i="23" s="1"/>
  <c r="G199" i="23"/>
  <c r="F199" i="23"/>
  <c r="C199" i="23" s="1"/>
  <c r="E199" i="23"/>
  <c r="D199" i="23"/>
  <c r="Z198" i="23"/>
  <c r="G198" i="23"/>
  <c r="F198" i="23"/>
  <c r="E198" i="23"/>
  <c r="D198" i="23"/>
  <c r="C198" i="23"/>
  <c r="Z197" i="23"/>
  <c r="AA197" i="23" s="1"/>
  <c r="G197" i="23"/>
  <c r="F197" i="23"/>
  <c r="C197" i="23" s="1"/>
  <c r="E197" i="23"/>
  <c r="D197" i="23"/>
  <c r="Z196" i="23"/>
  <c r="AA196" i="23" s="1"/>
  <c r="G196" i="23"/>
  <c r="F196" i="23"/>
  <c r="E196" i="23"/>
  <c r="D196" i="23"/>
  <c r="C196" i="23"/>
  <c r="Z195" i="23"/>
  <c r="G195" i="23"/>
  <c r="F195" i="23"/>
  <c r="C195" i="23" s="1"/>
  <c r="E195" i="23"/>
  <c r="D195" i="23"/>
  <c r="Z194" i="23"/>
  <c r="G194" i="23"/>
  <c r="F194" i="23"/>
  <c r="E194" i="23"/>
  <c r="D194" i="23"/>
  <c r="C194" i="23"/>
  <c r="Z193" i="23"/>
  <c r="G193" i="23"/>
  <c r="F193" i="23"/>
  <c r="C193" i="23" s="1"/>
  <c r="E193" i="23"/>
  <c r="D193" i="23"/>
  <c r="Z192" i="23"/>
  <c r="AA192" i="23" s="1"/>
  <c r="G192" i="23"/>
  <c r="F192" i="23"/>
  <c r="E192" i="23"/>
  <c r="D192" i="23"/>
  <c r="C192" i="23"/>
  <c r="Z191" i="23"/>
  <c r="G191" i="23"/>
  <c r="F191" i="23"/>
  <c r="C191" i="23" s="1"/>
  <c r="E191" i="23"/>
  <c r="D191" i="23"/>
  <c r="Z190" i="23"/>
  <c r="G190" i="23"/>
  <c r="F190" i="23"/>
  <c r="E190" i="23"/>
  <c r="D190" i="23"/>
  <c r="C190" i="23"/>
  <c r="Z189" i="23"/>
  <c r="AA189" i="23" s="1"/>
  <c r="G189" i="23"/>
  <c r="F189" i="23"/>
  <c r="C189" i="23" s="1"/>
  <c r="E189" i="23"/>
  <c r="D189" i="23"/>
  <c r="Z188" i="23"/>
  <c r="G188" i="23"/>
  <c r="F188" i="23"/>
  <c r="E188" i="23"/>
  <c r="D188" i="23"/>
  <c r="C188" i="23"/>
  <c r="Z187" i="23"/>
  <c r="AA187" i="23" s="1"/>
  <c r="G187" i="23"/>
  <c r="F187" i="23"/>
  <c r="C187" i="23" s="1"/>
  <c r="E187" i="23"/>
  <c r="D187" i="23"/>
  <c r="Z186" i="23"/>
  <c r="G186" i="23"/>
  <c r="F186" i="23"/>
  <c r="E186" i="23"/>
  <c r="D186" i="23"/>
  <c r="C186" i="23"/>
  <c r="Z185" i="23"/>
  <c r="G185" i="23"/>
  <c r="F185" i="23"/>
  <c r="C185" i="23" s="1"/>
  <c r="E185" i="23"/>
  <c r="D185" i="23"/>
  <c r="AA184" i="23"/>
  <c r="Z184" i="23"/>
  <c r="G184" i="23"/>
  <c r="F184" i="23"/>
  <c r="E184" i="23"/>
  <c r="D184" i="23"/>
  <c r="C184" i="23"/>
  <c r="Z183" i="23"/>
  <c r="G183" i="23"/>
  <c r="F183" i="23"/>
  <c r="C183" i="23" s="1"/>
  <c r="E183" i="23"/>
  <c r="D183" i="23"/>
  <c r="Z182" i="23"/>
  <c r="G182" i="23"/>
  <c r="F182" i="23"/>
  <c r="E182" i="23"/>
  <c r="D182" i="23"/>
  <c r="C182" i="23"/>
  <c r="Z181" i="23"/>
  <c r="G181" i="23"/>
  <c r="F181" i="23"/>
  <c r="C181" i="23" s="1"/>
  <c r="E181" i="23"/>
  <c r="D181" i="23"/>
  <c r="Z180" i="23"/>
  <c r="G180" i="23"/>
  <c r="F180" i="23"/>
  <c r="E180" i="23"/>
  <c r="D180" i="23"/>
  <c r="C180" i="23"/>
  <c r="Z179" i="23"/>
  <c r="AA179" i="23" s="1"/>
  <c r="G179" i="23"/>
  <c r="F179" i="23"/>
  <c r="C179" i="23" s="1"/>
  <c r="E179" i="23"/>
  <c r="D179" i="23"/>
  <c r="Z178" i="23"/>
  <c r="G178" i="23"/>
  <c r="AA178" i="23" s="1"/>
  <c r="F178" i="23"/>
  <c r="E178" i="23"/>
  <c r="D178" i="23"/>
  <c r="C178" i="23"/>
  <c r="Z177" i="23"/>
  <c r="AA177" i="23" s="1"/>
  <c r="G177" i="23"/>
  <c r="F177" i="23"/>
  <c r="C177" i="23" s="1"/>
  <c r="E177" i="23"/>
  <c r="D177" i="23"/>
  <c r="AA176" i="23"/>
  <c r="Z176" i="23"/>
  <c r="G176" i="23"/>
  <c r="F176" i="23"/>
  <c r="E176" i="23"/>
  <c r="D176" i="23"/>
  <c r="C176" i="23"/>
  <c r="Z175" i="23"/>
  <c r="AA175" i="23" s="1"/>
  <c r="G175" i="23"/>
  <c r="F175" i="23"/>
  <c r="C175" i="23" s="1"/>
  <c r="E175" i="23"/>
  <c r="D175" i="23"/>
  <c r="Z174" i="23"/>
  <c r="G174" i="23"/>
  <c r="F174" i="23"/>
  <c r="E174" i="23"/>
  <c r="D174" i="23"/>
  <c r="C174" i="23"/>
  <c r="Z173" i="23"/>
  <c r="G173" i="23"/>
  <c r="F173" i="23"/>
  <c r="C173" i="23" s="1"/>
  <c r="E173" i="23"/>
  <c r="D173" i="23"/>
  <c r="Z172" i="23"/>
  <c r="AA172" i="23" s="1"/>
  <c r="G172" i="23"/>
  <c r="F172" i="23"/>
  <c r="E172" i="23"/>
  <c r="D172" i="23"/>
  <c r="C172" i="23"/>
  <c r="Z171" i="23"/>
  <c r="G171" i="23"/>
  <c r="F171" i="23"/>
  <c r="C171" i="23" s="1"/>
  <c r="E171" i="23"/>
  <c r="D171" i="23"/>
  <c r="Z170" i="23"/>
  <c r="G170" i="23"/>
  <c r="AA170" i="23" s="1"/>
  <c r="F170" i="23"/>
  <c r="E170" i="23"/>
  <c r="D170" i="23"/>
  <c r="C170" i="23"/>
  <c r="Z169" i="23"/>
  <c r="AA169" i="23" s="1"/>
  <c r="G169" i="23"/>
  <c r="F169" i="23"/>
  <c r="C169" i="23" s="1"/>
  <c r="E169" i="23"/>
  <c r="D169" i="23"/>
  <c r="Z168" i="23"/>
  <c r="AA168" i="23" s="1"/>
  <c r="G168" i="23"/>
  <c r="F168" i="23"/>
  <c r="E168" i="23"/>
  <c r="D168" i="23"/>
  <c r="C168" i="23"/>
  <c r="Z167" i="23"/>
  <c r="AA167" i="23" s="1"/>
  <c r="G167" i="23"/>
  <c r="F167" i="23"/>
  <c r="C167" i="23" s="1"/>
  <c r="E167" i="23"/>
  <c r="D167" i="23"/>
  <c r="Z166" i="23"/>
  <c r="G166" i="23"/>
  <c r="F166" i="23"/>
  <c r="E166" i="23"/>
  <c r="D166" i="23"/>
  <c r="C166" i="23"/>
  <c r="Z165" i="23"/>
  <c r="AA165" i="23" s="1"/>
  <c r="G165" i="23"/>
  <c r="F165" i="23"/>
  <c r="C165" i="23" s="1"/>
  <c r="E165" i="23"/>
  <c r="D165" i="23"/>
  <c r="Z164" i="23"/>
  <c r="G164" i="23"/>
  <c r="F164" i="23"/>
  <c r="E164" i="23"/>
  <c r="D164" i="23"/>
  <c r="C164" i="23"/>
  <c r="Z163" i="23"/>
  <c r="G163" i="23"/>
  <c r="F163" i="23"/>
  <c r="C163" i="23" s="1"/>
  <c r="E163" i="23"/>
  <c r="D163" i="23"/>
  <c r="Z162" i="23"/>
  <c r="G162" i="23"/>
  <c r="F162" i="23"/>
  <c r="E162" i="23"/>
  <c r="D162" i="23"/>
  <c r="C162" i="23"/>
  <c r="Z161" i="23"/>
  <c r="G161" i="23"/>
  <c r="F161" i="23"/>
  <c r="C161" i="23" s="1"/>
  <c r="E161" i="23"/>
  <c r="D161" i="23"/>
  <c r="Z160" i="23"/>
  <c r="G160" i="23"/>
  <c r="AA160" i="23" s="1"/>
  <c r="F160" i="23"/>
  <c r="E160" i="23"/>
  <c r="D160" i="23"/>
  <c r="C160" i="23"/>
  <c r="Z159" i="23"/>
  <c r="AA159" i="23" s="1"/>
  <c r="G159" i="23"/>
  <c r="F159" i="23"/>
  <c r="C159" i="23" s="1"/>
  <c r="E159" i="23"/>
  <c r="D159" i="23"/>
  <c r="Z158" i="23"/>
  <c r="G158" i="23"/>
  <c r="F158" i="23"/>
  <c r="E158" i="23"/>
  <c r="D158" i="23"/>
  <c r="C158" i="23"/>
  <c r="Z157" i="23"/>
  <c r="AA157" i="23" s="1"/>
  <c r="G157" i="23"/>
  <c r="F157" i="23"/>
  <c r="C157" i="23" s="1"/>
  <c r="E157" i="23"/>
  <c r="D157" i="23"/>
  <c r="Z156" i="23"/>
  <c r="G156" i="23"/>
  <c r="F156" i="23"/>
  <c r="E156" i="23"/>
  <c r="D156" i="23"/>
  <c r="C156" i="23"/>
  <c r="Z155" i="23"/>
  <c r="G155" i="23"/>
  <c r="F155" i="23"/>
  <c r="C155" i="23" s="1"/>
  <c r="E155" i="23"/>
  <c r="D155" i="23"/>
  <c r="Z154" i="23"/>
  <c r="G154" i="23"/>
  <c r="F154" i="23"/>
  <c r="E154" i="23"/>
  <c r="D154" i="23"/>
  <c r="C154" i="23"/>
  <c r="Z153" i="23"/>
  <c r="G153" i="23"/>
  <c r="F153" i="23"/>
  <c r="C153" i="23" s="1"/>
  <c r="E153" i="23"/>
  <c r="D153" i="23"/>
  <c r="Z152" i="23"/>
  <c r="G152" i="23"/>
  <c r="AA152" i="23" s="1"/>
  <c r="F152" i="23"/>
  <c r="E152" i="23"/>
  <c r="D152" i="23"/>
  <c r="C152" i="23"/>
  <c r="Z151" i="23"/>
  <c r="AA151" i="23" s="1"/>
  <c r="G151" i="23"/>
  <c r="F151" i="23"/>
  <c r="C151" i="23" s="1"/>
  <c r="E151" i="23"/>
  <c r="D151" i="23"/>
  <c r="Z150" i="23"/>
  <c r="G150" i="23"/>
  <c r="F150" i="23"/>
  <c r="E150" i="23"/>
  <c r="D150" i="23"/>
  <c r="C150" i="23"/>
  <c r="Z149" i="23"/>
  <c r="AA149" i="23" s="1"/>
  <c r="G149" i="23"/>
  <c r="F149" i="23"/>
  <c r="C149" i="23" s="1"/>
  <c r="E149" i="23"/>
  <c r="D149" i="23"/>
  <c r="Z148" i="23"/>
  <c r="G148" i="23"/>
  <c r="F148" i="23"/>
  <c r="E148" i="23"/>
  <c r="D148" i="23"/>
  <c r="C148" i="23"/>
  <c r="Z147" i="23"/>
  <c r="G147" i="23"/>
  <c r="F147" i="23"/>
  <c r="C147" i="23" s="1"/>
  <c r="E147" i="23"/>
  <c r="D147" i="23"/>
  <c r="Z146" i="23"/>
  <c r="G146" i="23"/>
  <c r="F146" i="23"/>
  <c r="E146" i="23"/>
  <c r="D146" i="23"/>
  <c r="C146" i="23"/>
  <c r="Z145" i="23"/>
  <c r="G145" i="23"/>
  <c r="F145" i="23"/>
  <c r="C145" i="23" s="1"/>
  <c r="E145" i="23"/>
  <c r="D145" i="23"/>
  <c r="Z144" i="23"/>
  <c r="G144" i="23"/>
  <c r="AA144" i="23" s="1"/>
  <c r="F144" i="23"/>
  <c r="E144" i="23"/>
  <c r="D144" i="23"/>
  <c r="C144" i="23"/>
  <c r="Z143" i="23"/>
  <c r="AA143" i="23" s="1"/>
  <c r="G143" i="23"/>
  <c r="F143" i="23"/>
  <c r="C143" i="23" s="1"/>
  <c r="E143" i="23"/>
  <c r="D143" i="23"/>
  <c r="Z142" i="23"/>
  <c r="G142" i="23"/>
  <c r="F142" i="23"/>
  <c r="E142" i="23"/>
  <c r="D142" i="23"/>
  <c r="C142" i="23"/>
  <c r="Z141" i="23"/>
  <c r="AA141" i="23" s="1"/>
  <c r="G141" i="23"/>
  <c r="F141" i="23"/>
  <c r="C141" i="23" s="1"/>
  <c r="E141" i="23"/>
  <c r="D141" i="23"/>
  <c r="Z140" i="23"/>
  <c r="G140" i="23"/>
  <c r="F140" i="23"/>
  <c r="E140" i="23"/>
  <c r="D140" i="23"/>
  <c r="C140" i="23"/>
  <c r="Z139" i="23"/>
  <c r="G139" i="23"/>
  <c r="F139" i="23"/>
  <c r="C139" i="23" s="1"/>
  <c r="E139" i="23"/>
  <c r="D139" i="23"/>
  <c r="Z138" i="23"/>
  <c r="G138" i="23"/>
  <c r="F138" i="23"/>
  <c r="E138" i="23"/>
  <c r="D138" i="23"/>
  <c r="C138" i="23"/>
  <c r="Z137" i="23"/>
  <c r="G137" i="23"/>
  <c r="F137" i="23"/>
  <c r="C137" i="23" s="1"/>
  <c r="E137" i="23"/>
  <c r="D137" i="23"/>
  <c r="Z136" i="23"/>
  <c r="G136" i="23"/>
  <c r="AA136" i="23" s="1"/>
  <c r="F136" i="23"/>
  <c r="E136" i="23"/>
  <c r="D136" i="23"/>
  <c r="C136" i="23"/>
  <c r="Z135" i="23"/>
  <c r="AA135" i="23" s="1"/>
  <c r="G135" i="23"/>
  <c r="F135" i="23"/>
  <c r="C135" i="23" s="1"/>
  <c r="E135" i="23"/>
  <c r="D135" i="23"/>
  <c r="Z134" i="23"/>
  <c r="G134" i="23"/>
  <c r="F134" i="23"/>
  <c r="E134" i="23"/>
  <c r="D134" i="23"/>
  <c r="C134" i="23"/>
  <c r="Z133" i="23"/>
  <c r="AA133" i="23" s="1"/>
  <c r="G133" i="23"/>
  <c r="F133" i="23"/>
  <c r="C133" i="23" s="1"/>
  <c r="E133" i="23"/>
  <c r="D133" i="23"/>
  <c r="Z132" i="23"/>
  <c r="G132" i="23"/>
  <c r="F132" i="23"/>
  <c r="E132" i="23"/>
  <c r="D132" i="23"/>
  <c r="C132" i="23"/>
  <c r="Z131" i="23"/>
  <c r="G131" i="23"/>
  <c r="F131" i="23"/>
  <c r="C131" i="23" s="1"/>
  <c r="E131" i="23"/>
  <c r="D131" i="23"/>
  <c r="Z130" i="23"/>
  <c r="G130" i="23"/>
  <c r="F130" i="23"/>
  <c r="E130" i="23"/>
  <c r="D130" i="23"/>
  <c r="C130" i="23"/>
  <c r="Z129" i="23"/>
  <c r="G129" i="23"/>
  <c r="F129" i="23"/>
  <c r="C129" i="23" s="1"/>
  <c r="E129" i="23"/>
  <c r="D129" i="23"/>
  <c r="Z128" i="23"/>
  <c r="G128" i="23"/>
  <c r="AA128" i="23" s="1"/>
  <c r="F128" i="23"/>
  <c r="E128" i="23"/>
  <c r="D128" i="23"/>
  <c r="C128" i="23"/>
  <c r="Z127" i="23"/>
  <c r="AA127" i="23" s="1"/>
  <c r="G127" i="23"/>
  <c r="F127" i="23"/>
  <c r="C127" i="23" s="1"/>
  <c r="E127" i="23"/>
  <c r="D127" i="23"/>
  <c r="Z126" i="23"/>
  <c r="G126" i="23"/>
  <c r="F126" i="23"/>
  <c r="E126" i="23"/>
  <c r="D126" i="23"/>
  <c r="C126" i="23"/>
  <c r="Z125" i="23"/>
  <c r="AA125" i="23" s="1"/>
  <c r="G125" i="23"/>
  <c r="F125" i="23"/>
  <c r="C125" i="23" s="1"/>
  <c r="E125" i="23"/>
  <c r="D125" i="23"/>
  <c r="Z124" i="23"/>
  <c r="G124" i="23"/>
  <c r="F124" i="23"/>
  <c r="E124" i="23"/>
  <c r="D124" i="23"/>
  <c r="C124" i="23"/>
  <c r="Z123" i="23"/>
  <c r="G123" i="23"/>
  <c r="F123" i="23"/>
  <c r="C123" i="23" s="1"/>
  <c r="E123" i="23"/>
  <c r="D123" i="23"/>
  <c r="Z122" i="23"/>
  <c r="G122" i="23"/>
  <c r="F122" i="23"/>
  <c r="E122" i="23"/>
  <c r="D122" i="23"/>
  <c r="C122" i="23"/>
  <c r="Z121" i="23"/>
  <c r="G121" i="23"/>
  <c r="F121" i="23"/>
  <c r="C121" i="23" s="1"/>
  <c r="E121" i="23"/>
  <c r="D121" i="23"/>
  <c r="Z120" i="23"/>
  <c r="G120" i="23"/>
  <c r="AA120" i="23" s="1"/>
  <c r="F120" i="23"/>
  <c r="E120" i="23"/>
  <c r="D120" i="23"/>
  <c r="C120" i="23"/>
  <c r="Z119" i="23"/>
  <c r="AA119" i="23" s="1"/>
  <c r="G119" i="23"/>
  <c r="F119" i="23"/>
  <c r="C119" i="23" s="1"/>
  <c r="E119" i="23"/>
  <c r="D119" i="23"/>
  <c r="Z118" i="23"/>
  <c r="G118" i="23"/>
  <c r="F118" i="23"/>
  <c r="E118" i="23"/>
  <c r="D118" i="23"/>
  <c r="C118" i="23"/>
  <c r="Z117" i="23"/>
  <c r="AA117" i="23" s="1"/>
  <c r="G117" i="23"/>
  <c r="F117" i="23"/>
  <c r="C117" i="23" s="1"/>
  <c r="E117" i="23"/>
  <c r="D117" i="23"/>
  <c r="Z116" i="23"/>
  <c r="G116" i="23"/>
  <c r="F116" i="23"/>
  <c r="E116" i="23"/>
  <c r="D116" i="23"/>
  <c r="C116" i="23"/>
  <c r="Z115" i="23"/>
  <c r="G115" i="23"/>
  <c r="F115" i="23"/>
  <c r="C115" i="23" s="1"/>
  <c r="E115" i="23"/>
  <c r="D115" i="23"/>
  <c r="Z114" i="23"/>
  <c r="G114" i="23"/>
  <c r="F114" i="23"/>
  <c r="E114" i="23"/>
  <c r="D114" i="23"/>
  <c r="C114" i="23"/>
  <c r="Z113" i="23"/>
  <c r="G113" i="23"/>
  <c r="F113" i="23"/>
  <c r="C113" i="23" s="1"/>
  <c r="E113" i="23"/>
  <c r="D113" i="23"/>
  <c r="Z112" i="23"/>
  <c r="G112" i="23"/>
  <c r="AA112" i="23" s="1"/>
  <c r="F112" i="23"/>
  <c r="E112" i="23"/>
  <c r="D112" i="23"/>
  <c r="C112" i="23"/>
  <c r="Z111" i="23"/>
  <c r="AA111" i="23" s="1"/>
  <c r="G111" i="23"/>
  <c r="F111" i="23"/>
  <c r="C111" i="23" s="1"/>
  <c r="E111" i="23"/>
  <c r="D111" i="23"/>
  <c r="Z110" i="23"/>
  <c r="G110" i="23"/>
  <c r="F110" i="23"/>
  <c r="E110" i="23"/>
  <c r="D110" i="23"/>
  <c r="C110" i="23"/>
  <c r="Z109" i="23"/>
  <c r="AA109" i="23" s="1"/>
  <c r="G109" i="23"/>
  <c r="F109" i="23"/>
  <c r="C109" i="23" s="1"/>
  <c r="E109" i="23"/>
  <c r="D109" i="23"/>
  <c r="Z108" i="23"/>
  <c r="G108" i="23"/>
  <c r="F108" i="23"/>
  <c r="E108" i="23"/>
  <c r="D108" i="23"/>
  <c r="C108" i="23"/>
  <c r="Z107" i="23"/>
  <c r="G107" i="23"/>
  <c r="F107" i="23"/>
  <c r="C107" i="23" s="1"/>
  <c r="E107" i="23"/>
  <c r="D107" i="23"/>
  <c r="Z106" i="23"/>
  <c r="G106" i="23"/>
  <c r="F106" i="23"/>
  <c r="E106" i="23"/>
  <c r="D106" i="23"/>
  <c r="C106" i="23"/>
  <c r="Z105" i="23"/>
  <c r="G105" i="23"/>
  <c r="F105" i="23"/>
  <c r="C105" i="23" s="1"/>
  <c r="E105" i="23"/>
  <c r="D105" i="23"/>
  <c r="Z104" i="23"/>
  <c r="G104" i="23"/>
  <c r="AA104" i="23" s="1"/>
  <c r="F104" i="23"/>
  <c r="E104" i="23"/>
  <c r="D104" i="23"/>
  <c r="C104" i="23"/>
  <c r="Z103" i="23"/>
  <c r="AA103" i="23" s="1"/>
  <c r="G103" i="23"/>
  <c r="F103" i="23"/>
  <c r="C103" i="23" s="1"/>
  <c r="E103" i="23"/>
  <c r="D103" i="23"/>
  <c r="Z102" i="23"/>
  <c r="G102" i="23"/>
  <c r="F102" i="23"/>
  <c r="E102" i="23"/>
  <c r="D102" i="23"/>
  <c r="C102" i="23"/>
  <c r="Z101" i="23"/>
  <c r="AA101" i="23" s="1"/>
  <c r="G101" i="23"/>
  <c r="F101" i="23"/>
  <c r="C101" i="23" s="1"/>
  <c r="E101" i="23"/>
  <c r="D101" i="23"/>
  <c r="Z100" i="23"/>
  <c r="G100" i="23"/>
  <c r="F100" i="23"/>
  <c r="E100" i="23"/>
  <c r="D100" i="23"/>
  <c r="C100" i="23"/>
  <c r="Z99" i="23"/>
  <c r="G99" i="23"/>
  <c r="F99" i="23"/>
  <c r="C99" i="23" s="1"/>
  <c r="E99" i="23"/>
  <c r="D99" i="23"/>
  <c r="Z98" i="23"/>
  <c r="G98" i="23"/>
  <c r="F98" i="23"/>
  <c r="E98" i="23"/>
  <c r="D98" i="23"/>
  <c r="C98" i="23"/>
  <c r="Z97" i="23"/>
  <c r="G97" i="23"/>
  <c r="F97" i="23"/>
  <c r="C97" i="23" s="1"/>
  <c r="E97" i="23"/>
  <c r="D97" i="23"/>
  <c r="Z96" i="23"/>
  <c r="G96" i="23"/>
  <c r="AA96" i="23" s="1"/>
  <c r="F96" i="23"/>
  <c r="E96" i="23"/>
  <c r="D96" i="23"/>
  <c r="C96" i="23"/>
  <c r="Z95" i="23"/>
  <c r="AA95" i="23" s="1"/>
  <c r="G95" i="23"/>
  <c r="F95" i="23"/>
  <c r="C95" i="23" s="1"/>
  <c r="E95" i="23"/>
  <c r="D95" i="23"/>
  <c r="Z94" i="23"/>
  <c r="G94" i="23"/>
  <c r="F94" i="23"/>
  <c r="E94" i="23"/>
  <c r="D94" i="23"/>
  <c r="C94" i="23"/>
  <c r="Z93" i="23"/>
  <c r="G93" i="23"/>
  <c r="F93" i="23"/>
  <c r="C93" i="23" s="1"/>
  <c r="E93" i="23"/>
  <c r="D93" i="23"/>
  <c r="Z92" i="23"/>
  <c r="G92" i="23"/>
  <c r="F92" i="23"/>
  <c r="E92" i="23"/>
  <c r="D92" i="23"/>
  <c r="C92" i="23"/>
  <c r="Z91" i="23"/>
  <c r="G91" i="23"/>
  <c r="F91" i="23"/>
  <c r="C91" i="23" s="1"/>
  <c r="E91" i="23"/>
  <c r="D91" i="23"/>
  <c r="Z90" i="23"/>
  <c r="G90" i="23"/>
  <c r="F90" i="23"/>
  <c r="E90" i="23"/>
  <c r="D90" i="23"/>
  <c r="C90" i="23"/>
  <c r="Z89" i="23"/>
  <c r="G89" i="23"/>
  <c r="F89" i="23"/>
  <c r="C89" i="23" s="1"/>
  <c r="E89" i="23"/>
  <c r="D89" i="23"/>
  <c r="Z88" i="23"/>
  <c r="G88" i="23"/>
  <c r="AA88" i="23" s="1"/>
  <c r="F88" i="23"/>
  <c r="E88" i="23"/>
  <c r="D88" i="23"/>
  <c r="C88" i="23"/>
  <c r="Z87" i="23"/>
  <c r="AA87" i="23" s="1"/>
  <c r="G87" i="23"/>
  <c r="F87" i="23"/>
  <c r="C87" i="23" s="1"/>
  <c r="E87" i="23"/>
  <c r="D87" i="23"/>
  <c r="Z86" i="23"/>
  <c r="G86" i="23"/>
  <c r="F86" i="23"/>
  <c r="E86" i="23"/>
  <c r="D86" i="23"/>
  <c r="C86" i="23"/>
  <c r="Z85" i="23"/>
  <c r="G85" i="23"/>
  <c r="F85" i="23"/>
  <c r="C85" i="23" s="1"/>
  <c r="E85" i="23"/>
  <c r="D85" i="23"/>
  <c r="Z84" i="23"/>
  <c r="G84" i="23"/>
  <c r="F84" i="23"/>
  <c r="E84" i="23"/>
  <c r="D84" i="23"/>
  <c r="C84" i="23"/>
  <c r="Z83" i="23"/>
  <c r="G83" i="23"/>
  <c r="F83" i="23"/>
  <c r="C83" i="23" s="1"/>
  <c r="E83" i="23"/>
  <c r="D83" i="23"/>
  <c r="Z82" i="23"/>
  <c r="G82" i="23"/>
  <c r="F82" i="23"/>
  <c r="E82" i="23"/>
  <c r="D82" i="23"/>
  <c r="C82" i="23"/>
  <c r="Z81" i="23"/>
  <c r="G81" i="23"/>
  <c r="F81" i="23"/>
  <c r="C81" i="23" s="1"/>
  <c r="E81" i="23"/>
  <c r="D81" i="23"/>
  <c r="Z80" i="23"/>
  <c r="G80" i="23"/>
  <c r="AA80" i="23" s="1"/>
  <c r="F80" i="23"/>
  <c r="E80" i="23"/>
  <c r="D80" i="23"/>
  <c r="C80" i="23"/>
  <c r="Z79" i="23"/>
  <c r="AA79" i="23" s="1"/>
  <c r="G79" i="23"/>
  <c r="F79" i="23"/>
  <c r="C79" i="23" s="1"/>
  <c r="E79" i="23"/>
  <c r="D79" i="23"/>
  <c r="Z78" i="23"/>
  <c r="G78" i="23"/>
  <c r="F78" i="23"/>
  <c r="E78" i="23"/>
  <c r="D78" i="23"/>
  <c r="C78" i="23"/>
  <c r="Z77" i="23"/>
  <c r="G77" i="23"/>
  <c r="F77" i="23"/>
  <c r="C77" i="23" s="1"/>
  <c r="E77" i="23"/>
  <c r="D77" i="23"/>
  <c r="Z76" i="23"/>
  <c r="G76" i="23"/>
  <c r="F76" i="23"/>
  <c r="E76" i="23"/>
  <c r="D76" i="23"/>
  <c r="C76" i="23"/>
  <c r="Z75" i="23"/>
  <c r="G75" i="23"/>
  <c r="F75" i="23"/>
  <c r="C75" i="23" s="1"/>
  <c r="E75" i="23"/>
  <c r="D75" i="23"/>
  <c r="Z74" i="23"/>
  <c r="G74" i="23"/>
  <c r="F74" i="23"/>
  <c r="E74" i="23"/>
  <c r="D74" i="23"/>
  <c r="C74" i="23"/>
  <c r="Z73" i="23"/>
  <c r="G73" i="23"/>
  <c r="F73" i="23"/>
  <c r="C73" i="23" s="1"/>
  <c r="E73" i="23"/>
  <c r="D73" i="23"/>
  <c r="Z72" i="23"/>
  <c r="G72" i="23"/>
  <c r="AA72" i="23" s="1"/>
  <c r="F72" i="23"/>
  <c r="E72" i="23"/>
  <c r="D72" i="23"/>
  <c r="C72" i="23"/>
  <c r="Z71" i="23"/>
  <c r="AA71" i="23" s="1"/>
  <c r="G71" i="23"/>
  <c r="F71" i="23"/>
  <c r="C71" i="23" s="1"/>
  <c r="E71" i="23"/>
  <c r="D71" i="23"/>
  <c r="Z70" i="23"/>
  <c r="G70" i="23"/>
  <c r="F70" i="23"/>
  <c r="E70" i="23"/>
  <c r="D70" i="23"/>
  <c r="C70" i="23"/>
  <c r="Z69" i="23"/>
  <c r="G69" i="23"/>
  <c r="F69" i="23"/>
  <c r="C69" i="23" s="1"/>
  <c r="E69" i="23"/>
  <c r="D69" i="23"/>
  <c r="Z68" i="23"/>
  <c r="G68" i="23"/>
  <c r="F68" i="23"/>
  <c r="E68" i="23"/>
  <c r="D68" i="23"/>
  <c r="C68" i="23"/>
  <c r="Z67" i="23"/>
  <c r="G67" i="23"/>
  <c r="F67" i="23"/>
  <c r="C67" i="23" s="1"/>
  <c r="E67" i="23"/>
  <c r="D67" i="23"/>
  <c r="Z66" i="23"/>
  <c r="G66" i="23"/>
  <c r="F66" i="23"/>
  <c r="E66" i="23"/>
  <c r="D66" i="23"/>
  <c r="C66" i="23"/>
  <c r="Z65" i="23"/>
  <c r="G65" i="23"/>
  <c r="F65" i="23"/>
  <c r="C65" i="23" s="1"/>
  <c r="E65" i="23"/>
  <c r="D65" i="23"/>
  <c r="Z64" i="23"/>
  <c r="G64" i="23"/>
  <c r="AA64" i="23" s="1"/>
  <c r="F64" i="23"/>
  <c r="E64" i="23"/>
  <c r="D64" i="23"/>
  <c r="C64" i="23"/>
  <c r="Z63" i="23"/>
  <c r="AA63" i="23" s="1"/>
  <c r="G63" i="23"/>
  <c r="F63" i="23"/>
  <c r="C63" i="23" s="1"/>
  <c r="E63" i="23"/>
  <c r="D63" i="23"/>
  <c r="Z62" i="23"/>
  <c r="G62" i="23"/>
  <c r="F62" i="23"/>
  <c r="E62" i="23"/>
  <c r="D62" i="23"/>
  <c r="C62" i="23"/>
  <c r="Z61" i="23"/>
  <c r="G61" i="23"/>
  <c r="F61" i="23"/>
  <c r="C61" i="23" s="1"/>
  <c r="E61" i="23"/>
  <c r="D61" i="23"/>
  <c r="Z60" i="23"/>
  <c r="G60" i="23"/>
  <c r="F60" i="23"/>
  <c r="E60" i="23"/>
  <c r="D60" i="23"/>
  <c r="C60" i="23"/>
  <c r="Z59" i="23"/>
  <c r="G59" i="23"/>
  <c r="F59" i="23"/>
  <c r="C59" i="23" s="1"/>
  <c r="E59" i="23"/>
  <c r="D59" i="23"/>
  <c r="Z58" i="23"/>
  <c r="G58" i="23"/>
  <c r="F58" i="23"/>
  <c r="E58" i="23"/>
  <c r="D58" i="23"/>
  <c r="C58" i="23"/>
  <c r="Z57" i="23"/>
  <c r="G57" i="23"/>
  <c r="F57" i="23"/>
  <c r="C57" i="23" s="1"/>
  <c r="E57" i="23"/>
  <c r="D57" i="23"/>
  <c r="Z56" i="23"/>
  <c r="G56" i="23"/>
  <c r="AA56" i="23" s="1"/>
  <c r="F56" i="23"/>
  <c r="E56" i="23"/>
  <c r="D56" i="23"/>
  <c r="C56" i="23"/>
  <c r="Z55" i="23"/>
  <c r="AA55" i="23" s="1"/>
  <c r="G55" i="23"/>
  <c r="F55" i="23"/>
  <c r="C55" i="23" s="1"/>
  <c r="E55" i="23"/>
  <c r="D55" i="23"/>
  <c r="Z54" i="23"/>
  <c r="G54" i="23"/>
  <c r="F54" i="23"/>
  <c r="E54" i="23"/>
  <c r="D54" i="23"/>
  <c r="C54" i="23"/>
  <c r="Z53" i="23"/>
  <c r="G53" i="23"/>
  <c r="F53" i="23"/>
  <c r="C53" i="23" s="1"/>
  <c r="E53" i="23"/>
  <c r="D53" i="23"/>
  <c r="Z52" i="23"/>
  <c r="G52" i="23"/>
  <c r="F52" i="23"/>
  <c r="E52" i="23"/>
  <c r="D52" i="23"/>
  <c r="C52" i="23"/>
  <c r="Z51" i="23"/>
  <c r="G51" i="23"/>
  <c r="F51" i="23"/>
  <c r="C51" i="23" s="1"/>
  <c r="E51" i="23"/>
  <c r="D51" i="23"/>
  <c r="Z50" i="23"/>
  <c r="G50" i="23"/>
  <c r="F50" i="23"/>
  <c r="E50" i="23"/>
  <c r="D50" i="23"/>
  <c r="C50" i="23"/>
  <c r="Z49" i="23"/>
  <c r="G49" i="23"/>
  <c r="F49" i="23"/>
  <c r="C49" i="23" s="1"/>
  <c r="E49" i="23"/>
  <c r="D49" i="23"/>
  <c r="Z48" i="23"/>
  <c r="G48" i="23"/>
  <c r="AA48" i="23" s="1"/>
  <c r="F48" i="23"/>
  <c r="E48" i="23"/>
  <c r="D48" i="23"/>
  <c r="C48" i="23"/>
  <c r="Z47" i="23"/>
  <c r="AA47" i="23" s="1"/>
  <c r="G47" i="23"/>
  <c r="F47" i="23"/>
  <c r="C47" i="23" s="1"/>
  <c r="E47" i="23"/>
  <c r="D47" i="23"/>
  <c r="Z46" i="23"/>
  <c r="G46" i="23"/>
  <c r="F46" i="23"/>
  <c r="E46" i="23"/>
  <c r="D46" i="23"/>
  <c r="C46" i="23"/>
  <c r="Z45" i="23"/>
  <c r="G45" i="23"/>
  <c r="F45" i="23"/>
  <c r="C45" i="23" s="1"/>
  <c r="E45" i="23"/>
  <c r="D45" i="23"/>
  <c r="Z44" i="23"/>
  <c r="G44" i="23"/>
  <c r="F44" i="23"/>
  <c r="E44" i="23"/>
  <c r="D44" i="23"/>
  <c r="C44" i="23"/>
  <c r="Z43" i="23"/>
  <c r="G43" i="23"/>
  <c r="F43" i="23"/>
  <c r="C43" i="23" s="1"/>
  <c r="E43" i="23"/>
  <c r="D43" i="23"/>
  <c r="Z42" i="23"/>
  <c r="G42" i="23"/>
  <c r="F42" i="23"/>
  <c r="E42" i="23"/>
  <c r="D42" i="23"/>
  <c r="C42" i="23"/>
  <c r="Z41" i="23"/>
  <c r="G41" i="23"/>
  <c r="F41" i="23"/>
  <c r="C41" i="23" s="1"/>
  <c r="E41" i="23"/>
  <c r="D41" i="23"/>
  <c r="Z40" i="23"/>
  <c r="G40" i="23"/>
  <c r="AA40" i="23" s="1"/>
  <c r="F40" i="23"/>
  <c r="E40" i="23"/>
  <c r="D40" i="23"/>
  <c r="C40" i="23"/>
  <c r="Z39" i="23"/>
  <c r="AA39" i="23" s="1"/>
  <c r="G39" i="23"/>
  <c r="F39" i="23"/>
  <c r="C39" i="23" s="1"/>
  <c r="E39" i="23"/>
  <c r="D39" i="23"/>
  <c r="Z38" i="23"/>
  <c r="G38" i="23"/>
  <c r="F38" i="23"/>
  <c r="E38" i="23"/>
  <c r="D38" i="23"/>
  <c r="C38" i="23"/>
  <c r="Z37" i="23"/>
  <c r="G37" i="23"/>
  <c r="F37" i="23"/>
  <c r="C37" i="23" s="1"/>
  <c r="E37" i="23"/>
  <c r="D37" i="23"/>
  <c r="Z36" i="23"/>
  <c r="AA36" i="23" s="1"/>
  <c r="G36" i="23"/>
  <c r="F36" i="23"/>
  <c r="E36" i="23"/>
  <c r="D36" i="23"/>
  <c r="C36" i="23"/>
  <c r="Z35" i="23"/>
  <c r="G35" i="23"/>
  <c r="F35" i="23"/>
  <c r="C35" i="23" s="1"/>
  <c r="E35" i="23"/>
  <c r="D35" i="23"/>
  <c r="Z34" i="23"/>
  <c r="G34" i="23"/>
  <c r="F34" i="23"/>
  <c r="E34" i="23"/>
  <c r="D34" i="23"/>
  <c r="C34" i="23"/>
  <c r="Z33" i="23"/>
  <c r="G33" i="23"/>
  <c r="F33" i="23"/>
  <c r="E33" i="23"/>
  <c r="D33" i="23"/>
  <c r="C33" i="23"/>
  <c r="Z32" i="23"/>
  <c r="G32" i="23"/>
  <c r="F32" i="23"/>
  <c r="C32" i="23" s="1"/>
  <c r="E32" i="23"/>
  <c r="D32" i="23"/>
  <c r="Z31" i="23"/>
  <c r="AA31" i="23" s="1"/>
  <c r="G31" i="23"/>
  <c r="F31" i="23"/>
  <c r="C31" i="23" s="1"/>
  <c r="E31" i="23"/>
  <c r="D31" i="23"/>
  <c r="Z30" i="23"/>
  <c r="G30" i="23"/>
  <c r="F30" i="23"/>
  <c r="E30" i="23"/>
  <c r="D30" i="23"/>
  <c r="C30" i="23"/>
  <c r="Z29" i="23"/>
  <c r="G29" i="23"/>
  <c r="F29" i="23"/>
  <c r="C29" i="23" s="1"/>
  <c r="E29" i="23"/>
  <c r="D29" i="23"/>
  <c r="AA28" i="23"/>
  <c r="Z28" i="23"/>
  <c r="G28" i="23"/>
  <c r="F28" i="23"/>
  <c r="E28" i="23"/>
  <c r="D28" i="23"/>
  <c r="C28" i="23"/>
  <c r="Z27" i="23"/>
  <c r="G27" i="23"/>
  <c r="F27" i="23"/>
  <c r="C27" i="23" s="1"/>
  <c r="E27" i="23"/>
  <c r="D27" i="23"/>
  <c r="AA26" i="23"/>
  <c r="Z26" i="23"/>
  <c r="G26" i="23"/>
  <c r="F26" i="23"/>
  <c r="E26" i="23"/>
  <c r="D26" i="23"/>
  <c r="C26" i="23"/>
  <c r="Z25" i="23"/>
  <c r="G25" i="23"/>
  <c r="F25" i="23"/>
  <c r="E25" i="23"/>
  <c r="D25" i="23"/>
  <c r="C25" i="23"/>
  <c r="Z24" i="23"/>
  <c r="G24" i="23"/>
  <c r="AA24" i="23" s="1"/>
  <c r="F24" i="23"/>
  <c r="C24" i="23" s="1"/>
  <c r="E24" i="23"/>
  <c r="D24" i="23"/>
  <c r="Z23" i="23"/>
  <c r="AA23" i="23" s="1"/>
  <c r="G23" i="23"/>
  <c r="F23" i="23"/>
  <c r="C23" i="23" s="1"/>
  <c r="E23" i="23"/>
  <c r="D23" i="23"/>
  <c r="Z22" i="23"/>
  <c r="AA22" i="23" s="1"/>
  <c r="G22" i="23"/>
  <c r="F22" i="23"/>
  <c r="E22" i="23"/>
  <c r="D22" i="23"/>
  <c r="C22" i="23"/>
  <c r="Z21" i="23"/>
  <c r="G21" i="23"/>
  <c r="F21" i="23"/>
  <c r="C21" i="23" s="1"/>
  <c r="E21" i="23"/>
  <c r="D21" i="23"/>
  <c r="Z20" i="23"/>
  <c r="G20" i="23"/>
  <c r="F20" i="23"/>
  <c r="E20" i="23"/>
  <c r="D20" i="23"/>
  <c r="C20" i="23"/>
  <c r="Z19" i="23"/>
  <c r="G19" i="23"/>
  <c r="F19" i="23"/>
  <c r="C19" i="23" s="1"/>
  <c r="E19" i="23"/>
  <c r="D19" i="23"/>
  <c r="Z18" i="23"/>
  <c r="G18" i="23"/>
  <c r="F18" i="23"/>
  <c r="E18" i="23"/>
  <c r="D18" i="23"/>
  <c r="C18" i="23"/>
  <c r="Z17" i="23"/>
  <c r="G17" i="23"/>
  <c r="F17" i="23"/>
  <c r="E17" i="23"/>
  <c r="D17" i="23"/>
  <c r="C17" i="23"/>
  <c r="Z16" i="23"/>
  <c r="G16" i="23"/>
  <c r="F16" i="23"/>
  <c r="C16" i="23" s="1"/>
  <c r="E16" i="23"/>
  <c r="D16" i="23"/>
  <c r="Z15" i="23"/>
  <c r="G15" i="23"/>
  <c r="F15" i="23"/>
  <c r="C15" i="23" s="1"/>
  <c r="E15" i="23"/>
  <c r="D15" i="23"/>
  <c r="Z14" i="23"/>
  <c r="AA14" i="23" s="1"/>
  <c r="G14" i="23"/>
  <c r="F14" i="23"/>
  <c r="E14" i="23"/>
  <c r="D14" i="23"/>
  <c r="C14" i="23"/>
  <c r="Z13" i="23"/>
  <c r="G13" i="23"/>
  <c r="AA13" i="23" s="1"/>
  <c r="F13" i="23"/>
  <c r="C13" i="23" s="1"/>
  <c r="E13" i="23"/>
  <c r="D13" i="23"/>
  <c r="Z12" i="23"/>
  <c r="AA12" i="23" s="1"/>
  <c r="G12" i="23"/>
  <c r="F12" i="23"/>
  <c r="C12" i="23" s="1"/>
  <c r="E12" i="23"/>
  <c r="D12" i="23"/>
  <c r="Z11" i="23"/>
  <c r="G11" i="23"/>
  <c r="F11" i="23"/>
  <c r="E11" i="23"/>
  <c r="D11" i="23"/>
  <c r="C11" i="23"/>
  <c r="Z10" i="23"/>
  <c r="G10" i="23"/>
  <c r="F10" i="23"/>
  <c r="E10" i="23"/>
  <c r="D10" i="23"/>
  <c r="C10" i="23"/>
  <c r="Z9" i="23"/>
  <c r="G9" i="23"/>
  <c r="F9" i="23"/>
  <c r="C9" i="23" s="1"/>
  <c r="E9" i="23"/>
  <c r="D9" i="23"/>
  <c r="Z8" i="23"/>
  <c r="G8" i="23"/>
  <c r="F8" i="23"/>
  <c r="C8" i="23" s="1"/>
  <c r="E8" i="23"/>
  <c r="D8" i="23"/>
  <c r="Z329" i="22"/>
  <c r="AA329" i="22" s="1"/>
  <c r="Z328" i="22"/>
  <c r="AA328" i="22" s="1"/>
  <c r="Z327" i="22"/>
  <c r="AA327" i="22" s="1"/>
  <c r="Z325" i="22"/>
  <c r="G325" i="22"/>
  <c r="F325" i="22"/>
  <c r="C325" i="22" s="1"/>
  <c r="E325" i="22"/>
  <c r="D325" i="22"/>
  <c r="Z324" i="22"/>
  <c r="AA324" i="22" s="1"/>
  <c r="G324" i="22"/>
  <c r="F324" i="22"/>
  <c r="E324" i="22"/>
  <c r="D324" i="22"/>
  <c r="C324" i="22"/>
  <c r="Z323" i="22"/>
  <c r="G323" i="22"/>
  <c r="F323" i="22"/>
  <c r="C323" i="22" s="1"/>
  <c r="E323" i="22"/>
  <c r="D323" i="22"/>
  <c r="Z322" i="22"/>
  <c r="AA322" i="22" s="1"/>
  <c r="G322" i="22"/>
  <c r="F322" i="22"/>
  <c r="C322" i="22" s="1"/>
  <c r="E322" i="22"/>
  <c r="D322" i="22"/>
  <c r="Z321" i="22"/>
  <c r="AA321" i="22" s="1"/>
  <c r="G321" i="22"/>
  <c r="F321" i="22"/>
  <c r="C321" i="22" s="1"/>
  <c r="E321" i="22"/>
  <c r="D321" i="22"/>
  <c r="Z320" i="22"/>
  <c r="G320" i="22"/>
  <c r="F320" i="22"/>
  <c r="E320" i="22"/>
  <c r="D320" i="22"/>
  <c r="C320" i="22"/>
  <c r="Z319" i="22"/>
  <c r="G319" i="22"/>
  <c r="F319" i="22"/>
  <c r="C319" i="22" s="1"/>
  <c r="E319" i="22"/>
  <c r="D319" i="22"/>
  <c r="Z318" i="22"/>
  <c r="AA318" i="22" s="1"/>
  <c r="G318" i="22"/>
  <c r="F318" i="22"/>
  <c r="C318" i="22" s="1"/>
  <c r="E318" i="22"/>
  <c r="D318" i="22"/>
  <c r="Z317" i="22"/>
  <c r="AA317" i="22" s="1"/>
  <c r="G317" i="22"/>
  <c r="F317" i="22"/>
  <c r="C317" i="22" s="1"/>
  <c r="E317" i="22"/>
  <c r="D317" i="22"/>
  <c r="Z316" i="22"/>
  <c r="G316" i="22"/>
  <c r="F316" i="22"/>
  <c r="E316" i="22"/>
  <c r="D316" i="22"/>
  <c r="C316" i="22"/>
  <c r="Z315" i="22"/>
  <c r="G315" i="22"/>
  <c r="F315" i="22"/>
  <c r="C315" i="22" s="1"/>
  <c r="E315" i="22"/>
  <c r="D315" i="22"/>
  <c r="AA314" i="22"/>
  <c r="Z314" i="22"/>
  <c r="G314" i="22"/>
  <c r="F314" i="22"/>
  <c r="C314" i="22" s="1"/>
  <c r="E314" i="22"/>
  <c r="D314" i="22"/>
  <c r="Z313" i="22"/>
  <c r="G313" i="22"/>
  <c r="F313" i="22"/>
  <c r="C313" i="22" s="1"/>
  <c r="E313" i="22"/>
  <c r="D313" i="22"/>
  <c r="Z312" i="22"/>
  <c r="G312" i="22"/>
  <c r="F312" i="22"/>
  <c r="E312" i="22"/>
  <c r="D312" i="22"/>
  <c r="C312" i="22"/>
  <c r="Z311" i="22"/>
  <c r="G311" i="22"/>
  <c r="F311" i="22"/>
  <c r="C311" i="22" s="1"/>
  <c r="E311" i="22"/>
  <c r="D311" i="22"/>
  <c r="Z310" i="22"/>
  <c r="G310" i="22"/>
  <c r="F310" i="22"/>
  <c r="C310" i="22" s="1"/>
  <c r="E310" i="22"/>
  <c r="D310" i="22"/>
  <c r="Z309" i="22"/>
  <c r="AA309" i="22" s="1"/>
  <c r="G309" i="22"/>
  <c r="F309" i="22"/>
  <c r="C309" i="22" s="1"/>
  <c r="E309" i="22"/>
  <c r="D309" i="22"/>
  <c r="Z308" i="22"/>
  <c r="AA308" i="22" s="1"/>
  <c r="G308" i="22"/>
  <c r="F308" i="22"/>
  <c r="E308" i="22"/>
  <c r="D308" i="22"/>
  <c r="C308" i="22"/>
  <c r="Z307" i="22"/>
  <c r="G307" i="22"/>
  <c r="F307" i="22"/>
  <c r="C307" i="22" s="1"/>
  <c r="E307" i="22"/>
  <c r="D307" i="22"/>
  <c r="AA306" i="22"/>
  <c r="Z306" i="22"/>
  <c r="G306" i="22"/>
  <c r="F306" i="22"/>
  <c r="C306" i="22" s="1"/>
  <c r="E306" i="22"/>
  <c r="D306" i="22"/>
  <c r="Z305" i="22"/>
  <c r="G305" i="22"/>
  <c r="F305" i="22"/>
  <c r="C305" i="22" s="1"/>
  <c r="E305" i="22"/>
  <c r="D305" i="22"/>
  <c r="Z304" i="22"/>
  <c r="G304" i="22"/>
  <c r="F304" i="22"/>
  <c r="E304" i="22"/>
  <c r="D304" i="22"/>
  <c r="C304" i="22"/>
  <c r="Z303" i="22"/>
  <c r="AA303" i="22" s="1"/>
  <c r="G303" i="22"/>
  <c r="F303" i="22"/>
  <c r="C303" i="22" s="1"/>
  <c r="E303" i="22"/>
  <c r="D303" i="22"/>
  <c r="Z302" i="22"/>
  <c r="G302" i="22"/>
  <c r="F302" i="22"/>
  <c r="C302" i="22" s="1"/>
  <c r="E302" i="22"/>
  <c r="D302" i="22"/>
  <c r="Z301" i="22"/>
  <c r="G301" i="22"/>
  <c r="F301" i="22"/>
  <c r="C301" i="22" s="1"/>
  <c r="E301" i="22"/>
  <c r="D301" i="22"/>
  <c r="Z300" i="22"/>
  <c r="AA300" i="22" s="1"/>
  <c r="G300" i="22"/>
  <c r="F300" i="22"/>
  <c r="E300" i="22"/>
  <c r="D300" i="22"/>
  <c r="C300" i="22"/>
  <c r="Z299" i="22"/>
  <c r="G299" i="22"/>
  <c r="F299" i="22"/>
  <c r="C299" i="22" s="1"/>
  <c r="E299" i="22"/>
  <c r="D299" i="22"/>
  <c r="Z298" i="22"/>
  <c r="AA298" i="22" s="1"/>
  <c r="G298" i="22"/>
  <c r="F298" i="22"/>
  <c r="C298" i="22" s="1"/>
  <c r="E298" i="22"/>
  <c r="D298" i="22"/>
  <c r="Z297" i="22"/>
  <c r="AA297" i="22" s="1"/>
  <c r="G297" i="22"/>
  <c r="F297" i="22"/>
  <c r="C297" i="22" s="1"/>
  <c r="E297" i="22"/>
  <c r="D297" i="22"/>
  <c r="Z296" i="22"/>
  <c r="G296" i="22"/>
  <c r="F296" i="22"/>
  <c r="E296" i="22"/>
  <c r="D296" i="22"/>
  <c r="C296" i="22"/>
  <c r="Z295" i="22"/>
  <c r="AA295" i="22" s="1"/>
  <c r="G295" i="22"/>
  <c r="F295" i="22"/>
  <c r="C295" i="22" s="1"/>
  <c r="E295" i="22"/>
  <c r="D295" i="22"/>
  <c r="Z294" i="22"/>
  <c r="AA294" i="22" s="1"/>
  <c r="G294" i="22"/>
  <c r="F294" i="22"/>
  <c r="C294" i="22" s="1"/>
  <c r="E294" i="22"/>
  <c r="D294" i="22"/>
  <c r="Z293" i="22"/>
  <c r="G293" i="22"/>
  <c r="F293" i="22"/>
  <c r="C293" i="22" s="1"/>
  <c r="E293" i="22"/>
  <c r="D293" i="22"/>
  <c r="Z292" i="22"/>
  <c r="G292" i="22"/>
  <c r="F292" i="22"/>
  <c r="E292" i="22"/>
  <c r="D292" i="22"/>
  <c r="C292" i="22"/>
  <c r="Z291" i="22"/>
  <c r="AA291" i="22" s="1"/>
  <c r="G291" i="22"/>
  <c r="F291" i="22"/>
  <c r="C291" i="22" s="1"/>
  <c r="E291" i="22"/>
  <c r="D291" i="22"/>
  <c r="Z290" i="22"/>
  <c r="AA290" i="22" s="1"/>
  <c r="G290" i="22"/>
  <c r="F290" i="22"/>
  <c r="C290" i="22" s="1"/>
  <c r="E290" i="22"/>
  <c r="D290" i="22"/>
  <c r="Z289" i="22"/>
  <c r="AA289" i="22" s="1"/>
  <c r="G289" i="22"/>
  <c r="F289" i="22"/>
  <c r="C289" i="22" s="1"/>
  <c r="E289" i="22"/>
  <c r="D289" i="22"/>
  <c r="Z288" i="22"/>
  <c r="AA288" i="22" s="1"/>
  <c r="G288" i="22"/>
  <c r="F288" i="22"/>
  <c r="E288" i="22"/>
  <c r="D288" i="22"/>
  <c r="C288" i="22"/>
  <c r="Z287" i="22"/>
  <c r="G287" i="22"/>
  <c r="F287" i="22"/>
  <c r="C287" i="22" s="1"/>
  <c r="E287" i="22"/>
  <c r="D287" i="22"/>
  <c r="Z286" i="22"/>
  <c r="AA286" i="22" s="1"/>
  <c r="G286" i="22"/>
  <c r="F286" i="22"/>
  <c r="C286" i="22" s="1"/>
  <c r="E286" i="22"/>
  <c r="D286" i="22"/>
  <c r="Z285" i="22"/>
  <c r="AA285" i="22" s="1"/>
  <c r="G285" i="22"/>
  <c r="F285" i="22"/>
  <c r="C285" i="22" s="1"/>
  <c r="E285" i="22"/>
  <c r="D285" i="22"/>
  <c r="Z284" i="22"/>
  <c r="G284" i="22"/>
  <c r="F284" i="22"/>
  <c r="E284" i="22"/>
  <c r="D284" i="22"/>
  <c r="C284" i="22"/>
  <c r="Z283" i="22"/>
  <c r="G283" i="22"/>
  <c r="F283" i="22"/>
  <c r="C283" i="22" s="1"/>
  <c r="E283" i="22"/>
  <c r="D283" i="22"/>
  <c r="AA282" i="22"/>
  <c r="Z282" i="22"/>
  <c r="G282" i="22"/>
  <c r="F282" i="22"/>
  <c r="C282" i="22" s="1"/>
  <c r="E282" i="22"/>
  <c r="D282" i="22"/>
  <c r="Z281" i="22"/>
  <c r="G281" i="22"/>
  <c r="F281" i="22"/>
  <c r="C281" i="22" s="1"/>
  <c r="E281" i="22"/>
  <c r="D281" i="22"/>
  <c r="Z280" i="22"/>
  <c r="G280" i="22"/>
  <c r="F280" i="22"/>
  <c r="E280" i="22"/>
  <c r="D280" i="22"/>
  <c r="C280" i="22"/>
  <c r="Z279" i="22"/>
  <c r="G279" i="22"/>
  <c r="F279" i="22"/>
  <c r="C279" i="22" s="1"/>
  <c r="E279" i="22"/>
  <c r="D279" i="22"/>
  <c r="Z278" i="22"/>
  <c r="G278" i="22"/>
  <c r="F278" i="22"/>
  <c r="C278" i="22" s="1"/>
  <c r="E278" i="22"/>
  <c r="D278" i="22"/>
  <c r="Z277" i="22"/>
  <c r="AA277" i="22" s="1"/>
  <c r="G277" i="22"/>
  <c r="F277" i="22"/>
  <c r="C277" i="22" s="1"/>
  <c r="E277" i="22"/>
  <c r="D277" i="22"/>
  <c r="Z276" i="22"/>
  <c r="AA276" i="22" s="1"/>
  <c r="G276" i="22"/>
  <c r="F276" i="22"/>
  <c r="E276" i="22"/>
  <c r="D276" i="22"/>
  <c r="C276" i="22"/>
  <c r="Z275" i="22"/>
  <c r="G275" i="22"/>
  <c r="F275" i="22"/>
  <c r="C275" i="22" s="1"/>
  <c r="E275" i="22"/>
  <c r="D275" i="22"/>
  <c r="AA274" i="22"/>
  <c r="Z274" i="22"/>
  <c r="G274" i="22"/>
  <c r="F274" i="22"/>
  <c r="C274" i="22" s="1"/>
  <c r="E274" i="22"/>
  <c r="D274" i="22"/>
  <c r="Z273" i="22"/>
  <c r="G273" i="22"/>
  <c r="F273" i="22"/>
  <c r="C273" i="22" s="1"/>
  <c r="E273" i="22"/>
  <c r="D273" i="22"/>
  <c r="Z272" i="22"/>
  <c r="G272" i="22"/>
  <c r="F272" i="22"/>
  <c r="E272" i="22"/>
  <c r="D272" i="22"/>
  <c r="C272" i="22"/>
  <c r="Z271" i="22"/>
  <c r="AA271" i="22" s="1"/>
  <c r="G271" i="22"/>
  <c r="F271" i="22"/>
  <c r="C271" i="22" s="1"/>
  <c r="E271" i="22"/>
  <c r="D271" i="22"/>
  <c r="Z270" i="22"/>
  <c r="G270" i="22"/>
  <c r="F270" i="22"/>
  <c r="C270" i="22" s="1"/>
  <c r="E270" i="22"/>
  <c r="D270" i="22"/>
  <c r="Z269" i="22"/>
  <c r="G269" i="22"/>
  <c r="F269" i="22"/>
  <c r="C269" i="22" s="1"/>
  <c r="E269" i="22"/>
  <c r="D269" i="22"/>
  <c r="Z268" i="22"/>
  <c r="AA268" i="22" s="1"/>
  <c r="G268" i="22"/>
  <c r="F268" i="22"/>
  <c r="E268" i="22"/>
  <c r="D268" i="22"/>
  <c r="C268" i="22"/>
  <c r="Z267" i="22"/>
  <c r="G267" i="22"/>
  <c r="F267" i="22"/>
  <c r="C267" i="22" s="1"/>
  <c r="E267" i="22"/>
  <c r="D267" i="22"/>
  <c r="Z266" i="22"/>
  <c r="AA266" i="22" s="1"/>
  <c r="G266" i="22"/>
  <c r="F266" i="22"/>
  <c r="C266" i="22" s="1"/>
  <c r="E266" i="22"/>
  <c r="D266" i="22"/>
  <c r="Z265" i="22"/>
  <c r="AA265" i="22" s="1"/>
  <c r="G265" i="22"/>
  <c r="F265" i="22"/>
  <c r="C265" i="22" s="1"/>
  <c r="E265" i="22"/>
  <c r="D265" i="22"/>
  <c r="Z264" i="22"/>
  <c r="G264" i="22"/>
  <c r="F264" i="22"/>
  <c r="E264" i="22"/>
  <c r="D264" i="22"/>
  <c r="C264" i="22"/>
  <c r="Z263" i="22"/>
  <c r="G263" i="22"/>
  <c r="F263" i="22"/>
  <c r="C263" i="22" s="1"/>
  <c r="E263" i="22"/>
  <c r="D263" i="22"/>
  <c r="Z262" i="22"/>
  <c r="AA262" i="22" s="1"/>
  <c r="G262" i="22"/>
  <c r="F262" i="22"/>
  <c r="C262" i="22" s="1"/>
  <c r="E262" i="22"/>
  <c r="D262" i="22"/>
  <c r="Z261" i="22"/>
  <c r="G261" i="22"/>
  <c r="F261" i="22"/>
  <c r="C261" i="22" s="1"/>
  <c r="E261" i="22"/>
  <c r="D261" i="22"/>
  <c r="Z260" i="22"/>
  <c r="G260" i="22"/>
  <c r="F260" i="22"/>
  <c r="E260" i="22"/>
  <c r="D260" i="22"/>
  <c r="C260" i="22"/>
  <c r="Z259" i="22"/>
  <c r="AA259" i="22" s="1"/>
  <c r="G259" i="22"/>
  <c r="F259" i="22"/>
  <c r="C259" i="22" s="1"/>
  <c r="E259" i="22"/>
  <c r="D259" i="22"/>
  <c r="Z258" i="22"/>
  <c r="AA258" i="22" s="1"/>
  <c r="G258" i="22"/>
  <c r="F258" i="22"/>
  <c r="C258" i="22" s="1"/>
  <c r="E258" i="22"/>
  <c r="D258" i="22"/>
  <c r="Z257" i="22"/>
  <c r="G257" i="22"/>
  <c r="F257" i="22"/>
  <c r="C257" i="22" s="1"/>
  <c r="E257" i="22"/>
  <c r="D257" i="22"/>
  <c r="Z256" i="22"/>
  <c r="AA256" i="22" s="1"/>
  <c r="G256" i="22"/>
  <c r="F256" i="22"/>
  <c r="E256" i="22"/>
  <c r="D256" i="22"/>
  <c r="C256" i="22"/>
  <c r="Z255" i="22"/>
  <c r="G255" i="22"/>
  <c r="F255" i="22"/>
  <c r="C255" i="22" s="1"/>
  <c r="E255" i="22"/>
  <c r="D255" i="22"/>
  <c r="Z254" i="22"/>
  <c r="G254" i="22"/>
  <c r="F254" i="22"/>
  <c r="C254" i="22" s="1"/>
  <c r="E254" i="22"/>
  <c r="D254" i="22"/>
  <c r="Z253" i="22"/>
  <c r="AA253" i="22" s="1"/>
  <c r="G253" i="22"/>
  <c r="F253" i="22"/>
  <c r="C253" i="22" s="1"/>
  <c r="E253" i="22"/>
  <c r="D253" i="22"/>
  <c r="Z252" i="22"/>
  <c r="G252" i="22"/>
  <c r="F252" i="22"/>
  <c r="E252" i="22"/>
  <c r="D252" i="22"/>
  <c r="C252" i="22"/>
  <c r="Z251" i="22"/>
  <c r="G251" i="22"/>
  <c r="F251" i="22"/>
  <c r="C251" i="22" s="1"/>
  <c r="E251" i="22"/>
  <c r="D251" i="22"/>
  <c r="AA250" i="22"/>
  <c r="Z250" i="22"/>
  <c r="G250" i="22"/>
  <c r="F250" i="22"/>
  <c r="C250" i="22" s="1"/>
  <c r="E250" i="22"/>
  <c r="D250" i="22"/>
  <c r="Z249" i="22"/>
  <c r="G249" i="22"/>
  <c r="F249" i="22"/>
  <c r="C249" i="22" s="1"/>
  <c r="E249" i="22"/>
  <c r="D249" i="22"/>
  <c r="Z248" i="22"/>
  <c r="G248" i="22"/>
  <c r="F248" i="22"/>
  <c r="E248" i="22"/>
  <c r="D248" i="22"/>
  <c r="C248" i="22"/>
  <c r="Z247" i="22"/>
  <c r="G247" i="22"/>
  <c r="F247" i="22"/>
  <c r="C247" i="22" s="1"/>
  <c r="E247" i="22"/>
  <c r="D247" i="22"/>
  <c r="Z246" i="22"/>
  <c r="G246" i="22"/>
  <c r="F246" i="22"/>
  <c r="C246" i="22" s="1"/>
  <c r="E246" i="22"/>
  <c r="D246" i="22"/>
  <c r="Z245" i="22"/>
  <c r="G245" i="22"/>
  <c r="F245" i="22"/>
  <c r="C245" i="22" s="1"/>
  <c r="E245" i="22"/>
  <c r="D245" i="22"/>
  <c r="Z244" i="22"/>
  <c r="AA244" i="22" s="1"/>
  <c r="G244" i="22"/>
  <c r="F244" i="22"/>
  <c r="E244" i="22"/>
  <c r="D244" i="22"/>
  <c r="C244" i="22"/>
  <c r="Z243" i="22"/>
  <c r="G243" i="22"/>
  <c r="F243" i="22"/>
  <c r="C243" i="22" s="1"/>
  <c r="E243" i="22"/>
  <c r="D243" i="22"/>
  <c r="Z242" i="22"/>
  <c r="AA242" i="22" s="1"/>
  <c r="G242" i="22"/>
  <c r="F242" i="22"/>
  <c r="C242" i="22" s="1"/>
  <c r="E242" i="22"/>
  <c r="D242" i="22"/>
  <c r="Z241" i="22"/>
  <c r="G241" i="22"/>
  <c r="F241" i="22"/>
  <c r="C241" i="22" s="1"/>
  <c r="E241" i="22"/>
  <c r="D241" i="22"/>
  <c r="Z240" i="22"/>
  <c r="G240" i="22"/>
  <c r="F240" i="22"/>
  <c r="E240" i="22"/>
  <c r="D240" i="22"/>
  <c r="C240" i="22"/>
  <c r="Z239" i="22"/>
  <c r="AA239" i="22" s="1"/>
  <c r="G239" i="22"/>
  <c r="F239" i="22"/>
  <c r="E239" i="22"/>
  <c r="D239" i="22"/>
  <c r="C239" i="22"/>
  <c r="Z238" i="22"/>
  <c r="AA238" i="22" s="1"/>
  <c r="G238" i="22"/>
  <c r="F238" i="22"/>
  <c r="C238" i="22" s="1"/>
  <c r="E238" i="22"/>
  <c r="D238" i="22"/>
  <c r="Z237" i="22"/>
  <c r="AA237" i="22" s="1"/>
  <c r="G237" i="22"/>
  <c r="F237" i="22"/>
  <c r="C237" i="22" s="1"/>
  <c r="E237" i="22"/>
  <c r="D237" i="22"/>
  <c r="Z236" i="22"/>
  <c r="G236" i="22"/>
  <c r="F236" i="22"/>
  <c r="E236" i="22"/>
  <c r="D236" i="22"/>
  <c r="C236" i="22"/>
  <c r="Z235" i="22"/>
  <c r="G235" i="22"/>
  <c r="F235" i="22"/>
  <c r="E235" i="22"/>
  <c r="D235" i="22"/>
  <c r="C235" i="22"/>
  <c r="Z234" i="22"/>
  <c r="G234" i="22"/>
  <c r="F234" i="22"/>
  <c r="C234" i="22" s="1"/>
  <c r="E234" i="22"/>
  <c r="D234" i="22"/>
  <c r="Z233" i="22"/>
  <c r="AA233" i="22" s="1"/>
  <c r="G233" i="22"/>
  <c r="F233" i="22"/>
  <c r="C233" i="22" s="1"/>
  <c r="E233" i="22"/>
  <c r="D233" i="22"/>
  <c r="Z232" i="22"/>
  <c r="AA232" i="22" s="1"/>
  <c r="G232" i="22"/>
  <c r="F232" i="22"/>
  <c r="E232" i="22"/>
  <c r="D232" i="22"/>
  <c r="C232" i="22"/>
  <c r="Z231" i="22"/>
  <c r="G231" i="22"/>
  <c r="F231" i="22"/>
  <c r="E231" i="22"/>
  <c r="D231" i="22"/>
  <c r="C231" i="22"/>
  <c r="AA230" i="22"/>
  <c r="Z230" i="22"/>
  <c r="G230" i="22"/>
  <c r="F230" i="22"/>
  <c r="C230" i="22" s="1"/>
  <c r="E230" i="22"/>
  <c r="D230" i="22"/>
  <c r="Z229" i="22"/>
  <c r="G229" i="22"/>
  <c r="F229" i="22"/>
  <c r="C229" i="22" s="1"/>
  <c r="E229" i="22"/>
  <c r="D229" i="22"/>
  <c r="Z228" i="22"/>
  <c r="G228" i="22"/>
  <c r="F228" i="22"/>
  <c r="E228" i="22"/>
  <c r="D228" i="22"/>
  <c r="C228" i="22"/>
  <c r="Z227" i="22"/>
  <c r="G227" i="22"/>
  <c r="F227" i="22"/>
  <c r="E227" i="22"/>
  <c r="D227" i="22"/>
  <c r="C227" i="22"/>
  <c r="Z226" i="22"/>
  <c r="G226" i="22"/>
  <c r="F226" i="22"/>
  <c r="C226" i="22" s="1"/>
  <c r="E226" i="22"/>
  <c r="D226" i="22"/>
  <c r="AA225" i="22"/>
  <c r="Z225" i="22"/>
  <c r="G225" i="22"/>
  <c r="F225" i="22"/>
  <c r="C225" i="22" s="1"/>
  <c r="E225" i="22"/>
  <c r="D225" i="22"/>
  <c r="Z224" i="22"/>
  <c r="G224" i="22"/>
  <c r="F224" i="22"/>
  <c r="E224" i="22"/>
  <c r="D224" i="22"/>
  <c r="C224" i="22"/>
  <c r="Z223" i="22"/>
  <c r="G223" i="22"/>
  <c r="F223" i="22"/>
  <c r="E223" i="22"/>
  <c r="D223" i="22"/>
  <c r="C223" i="22"/>
  <c r="Z222" i="22"/>
  <c r="AA222" i="22" s="1"/>
  <c r="G222" i="22"/>
  <c r="F222" i="22"/>
  <c r="C222" i="22" s="1"/>
  <c r="E222" i="22"/>
  <c r="D222" i="22"/>
  <c r="Z221" i="22"/>
  <c r="AA221" i="22" s="1"/>
  <c r="G221" i="22"/>
  <c r="F221" i="22"/>
  <c r="C221" i="22" s="1"/>
  <c r="E221" i="22"/>
  <c r="D221" i="22"/>
  <c r="Z220" i="22"/>
  <c r="G220" i="22"/>
  <c r="F220" i="22"/>
  <c r="E220" i="22"/>
  <c r="D220" i="22"/>
  <c r="C220" i="22"/>
  <c r="Z219" i="22"/>
  <c r="G219" i="22"/>
  <c r="F219" i="22"/>
  <c r="E219" i="22"/>
  <c r="D219" i="22"/>
  <c r="C219" i="22"/>
  <c r="Z218" i="22"/>
  <c r="G218" i="22"/>
  <c r="F218" i="22"/>
  <c r="C218" i="22" s="1"/>
  <c r="E218" i="22"/>
  <c r="D218" i="22"/>
  <c r="Z217" i="22"/>
  <c r="AA217" i="22" s="1"/>
  <c r="G217" i="22"/>
  <c r="F217" i="22"/>
  <c r="C217" i="22" s="1"/>
  <c r="E217" i="22"/>
  <c r="D217" i="22"/>
  <c r="Z216" i="22"/>
  <c r="AA216" i="22" s="1"/>
  <c r="G216" i="22"/>
  <c r="F216" i="22"/>
  <c r="E216" i="22"/>
  <c r="D216" i="22"/>
  <c r="C216" i="22"/>
  <c r="Z215" i="22"/>
  <c r="G215" i="22"/>
  <c r="F215" i="22"/>
  <c r="E215" i="22"/>
  <c r="D215" i="22"/>
  <c r="C215" i="22"/>
  <c r="AA214" i="22"/>
  <c r="Z214" i="22"/>
  <c r="G214" i="22"/>
  <c r="F214" i="22"/>
  <c r="C214" i="22" s="1"/>
  <c r="E214" i="22"/>
  <c r="D214" i="22"/>
  <c r="Z213" i="22"/>
  <c r="G213" i="22"/>
  <c r="F213" i="22"/>
  <c r="C213" i="22" s="1"/>
  <c r="E213" i="22"/>
  <c r="D213" i="22"/>
  <c r="Z212" i="22"/>
  <c r="G212" i="22"/>
  <c r="F212" i="22"/>
  <c r="E212" i="22"/>
  <c r="D212" i="22"/>
  <c r="C212" i="22"/>
  <c r="Z211" i="22"/>
  <c r="G211" i="22"/>
  <c r="F211" i="22"/>
  <c r="E211" i="22"/>
  <c r="D211" i="22"/>
  <c r="C211" i="22"/>
  <c r="Z210" i="22"/>
  <c r="G210" i="22"/>
  <c r="F210" i="22"/>
  <c r="C210" i="22" s="1"/>
  <c r="E210" i="22"/>
  <c r="D210" i="22"/>
  <c r="AA209" i="22"/>
  <c r="Z209" i="22"/>
  <c r="G209" i="22"/>
  <c r="F209" i="22"/>
  <c r="C209" i="22" s="1"/>
  <c r="E209" i="22"/>
  <c r="D209" i="22"/>
  <c r="Z208" i="22"/>
  <c r="G208" i="22"/>
  <c r="F208" i="22"/>
  <c r="E208" i="22"/>
  <c r="D208" i="22"/>
  <c r="C208" i="22"/>
  <c r="Z207" i="22"/>
  <c r="G207" i="22"/>
  <c r="F207" i="22"/>
  <c r="E207" i="22"/>
  <c r="D207" i="22"/>
  <c r="C207" i="22"/>
  <c r="Z206" i="22"/>
  <c r="AA206" i="22" s="1"/>
  <c r="G206" i="22"/>
  <c r="F206" i="22"/>
  <c r="C206" i="22" s="1"/>
  <c r="E206" i="22"/>
  <c r="D206" i="22"/>
  <c r="Z205" i="22"/>
  <c r="AA205" i="22" s="1"/>
  <c r="G205" i="22"/>
  <c r="F205" i="22"/>
  <c r="C205" i="22" s="1"/>
  <c r="E205" i="22"/>
  <c r="D205" i="22"/>
  <c r="Z204" i="22"/>
  <c r="G204" i="22"/>
  <c r="F204" i="22"/>
  <c r="E204" i="22"/>
  <c r="D204" i="22"/>
  <c r="C204" i="22"/>
  <c r="Z203" i="22"/>
  <c r="G203" i="22"/>
  <c r="F203" i="22"/>
  <c r="C203" i="22" s="1"/>
  <c r="E203" i="22"/>
  <c r="D203" i="22"/>
  <c r="Z202" i="22"/>
  <c r="AA202" i="22" s="1"/>
  <c r="G202" i="22"/>
  <c r="F202" i="22"/>
  <c r="E202" i="22"/>
  <c r="D202" i="22"/>
  <c r="C202" i="22"/>
  <c r="Z201" i="22"/>
  <c r="G201" i="22"/>
  <c r="F201" i="22"/>
  <c r="C201" i="22" s="1"/>
  <c r="E201" i="22"/>
  <c r="D201" i="22"/>
  <c r="Z200" i="22"/>
  <c r="G200" i="22"/>
  <c r="AA200" i="22" s="1"/>
  <c r="F200" i="22"/>
  <c r="E200" i="22"/>
  <c r="D200" i="22"/>
  <c r="C200" i="22"/>
  <c r="Z199" i="22"/>
  <c r="G199" i="22"/>
  <c r="F199" i="22"/>
  <c r="C199" i="22" s="1"/>
  <c r="E199" i="22"/>
  <c r="D199" i="22"/>
  <c r="Z198" i="22"/>
  <c r="G198" i="22"/>
  <c r="F198" i="22"/>
  <c r="E198" i="22"/>
  <c r="D198" i="22"/>
  <c r="C198" i="22"/>
  <c r="Z197" i="22"/>
  <c r="AA197" i="22" s="1"/>
  <c r="G197" i="22"/>
  <c r="F197" i="22"/>
  <c r="C197" i="22" s="1"/>
  <c r="E197" i="22"/>
  <c r="D197" i="22"/>
  <c r="Z196" i="22"/>
  <c r="G196" i="22"/>
  <c r="AA196" i="22" s="1"/>
  <c r="F196" i="22"/>
  <c r="E196" i="22"/>
  <c r="D196" i="22"/>
  <c r="C196" i="22"/>
  <c r="Z195" i="22"/>
  <c r="G195" i="22"/>
  <c r="F195" i="22"/>
  <c r="C195" i="22" s="1"/>
  <c r="E195" i="22"/>
  <c r="D195" i="22"/>
  <c r="AA194" i="22"/>
  <c r="Z194" i="22"/>
  <c r="G194" i="22"/>
  <c r="F194" i="22"/>
  <c r="E194" i="22"/>
  <c r="D194" i="22"/>
  <c r="C194" i="22"/>
  <c r="Z193" i="22"/>
  <c r="G193" i="22"/>
  <c r="F193" i="22"/>
  <c r="C193" i="22" s="1"/>
  <c r="E193" i="22"/>
  <c r="D193" i="22"/>
  <c r="Z192" i="22"/>
  <c r="G192" i="22"/>
  <c r="F192" i="22"/>
  <c r="E192" i="22"/>
  <c r="D192" i="22"/>
  <c r="C192" i="22"/>
  <c r="Z191" i="22"/>
  <c r="AA191" i="22" s="1"/>
  <c r="G191" i="22"/>
  <c r="F191" i="22"/>
  <c r="C191" i="22" s="1"/>
  <c r="E191" i="22"/>
  <c r="D191" i="22"/>
  <c r="Z190" i="22"/>
  <c r="AA190" i="22" s="1"/>
  <c r="G190" i="22"/>
  <c r="F190" i="22"/>
  <c r="E190" i="22"/>
  <c r="D190" i="22"/>
  <c r="C190" i="22"/>
  <c r="Z189" i="22"/>
  <c r="G189" i="22"/>
  <c r="F189" i="22"/>
  <c r="C189" i="22" s="1"/>
  <c r="E189" i="22"/>
  <c r="D189" i="22"/>
  <c r="Z188" i="22"/>
  <c r="G188" i="22"/>
  <c r="F188" i="22"/>
  <c r="E188" i="22"/>
  <c r="D188" i="22"/>
  <c r="C188" i="22"/>
  <c r="Z187" i="22"/>
  <c r="G187" i="22"/>
  <c r="F187" i="22"/>
  <c r="C187" i="22" s="1"/>
  <c r="E187" i="22"/>
  <c r="D187" i="22"/>
  <c r="Z186" i="22"/>
  <c r="G186" i="22"/>
  <c r="F186" i="22"/>
  <c r="E186" i="22"/>
  <c r="D186" i="22"/>
  <c r="C186" i="22"/>
  <c r="Z185" i="22"/>
  <c r="AA185" i="22" s="1"/>
  <c r="G185" i="22"/>
  <c r="F185" i="22"/>
  <c r="C185" i="22" s="1"/>
  <c r="E185" i="22"/>
  <c r="D185" i="22"/>
  <c r="Z184" i="22"/>
  <c r="G184" i="22"/>
  <c r="AA184" i="22" s="1"/>
  <c r="F184" i="22"/>
  <c r="E184" i="22"/>
  <c r="D184" i="22"/>
  <c r="C184" i="22"/>
  <c r="Z183" i="22"/>
  <c r="G183" i="22"/>
  <c r="F183" i="22"/>
  <c r="C183" i="22" s="1"/>
  <c r="E183" i="22"/>
  <c r="D183" i="22"/>
  <c r="Z182" i="22"/>
  <c r="AA182" i="22" s="1"/>
  <c r="G182" i="22"/>
  <c r="F182" i="22"/>
  <c r="E182" i="22"/>
  <c r="D182" i="22"/>
  <c r="C182" i="22"/>
  <c r="Z181" i="22"/>
  <c r="AA181" i="22" s="1"/>
  <c r="G181" i="22"/>
  <c r="F181" i="22"/>
  <c r="C181" i="22" s="1"/>
  <c r="E181" i="22"/>
  <c r="D181" i="22"/>
  <c r="Z180" i="22"/>
  <c r="G180" i="22"/>
  <c r="AA180" i="22" s="1"/>
  <c r="F180" i="22"/>
  <c r="E180" i="22"/>
  <c r="D180" i="22"/>
  <c r="C180" i="22"/>
  <c r="Z179" i="22"/>
  <c r="G179" i="22"/>
  <c r="F179" i="22"/>
  <c r="C179" i="22" s="1"/>
  <c r="E179" i="22"/>
  <c r="D179" i="22"/>
  <c r="Z178" i="22"/>
  <c r="G178" i="22"/>
  <c r="AA178" i="22" s="1"/>
  <c r="F178" i="22"/>
  <c r="E178" i="22"/>
  <c r="D178" i="22"/>
  <c r="C178" i="22"/>
  <c r="Z177" i="22"/>
  <c r="G177" i="22"/>
  <c r="F177" i="22"/>
  <c r="C177" i="22" s="1"/>
  <c r="E177" i="22"/>
  <c r="D177" i="22"/>
  <c r="Z176" i="22"/>
  <c r="G176" i="22"/>
  <c r="F176" i="22"/>
  <c r="E176" i="22"/>
  <c r="D176" i="22"/>
  <c r="C176" i="22"/>
  <c r="Z175" i="22"/>
  <c r="AA175" i="22" s="1"/>
  <c r="G175" i="22"/>
  <c r="F175" i="22"/>
  <c r="C175" i="22" s="1"/>
  <c r="E175" i="22"/>
  <c r="D175" i="22"/>
  <c r="Z174" i="22"/>
  <c r="AA174" i="22" s="1"/>
  <c r="G174" i="22"/>
  <c r="F174" i="22"/>
  <c r="E174" i="22"/>
  <c r="D174" i="22"/>
  <c r="C174" i="22"/>
  <c r="Z173" i="22"/>
  <c r="AA173" i="22" s="1"/>
  <c r="G173" i="22"/>
  <c r="F173" i="22"/>
  <c r="C173" i="22" s="1"/>
  <c r="E173" i="22"/>
  <c r="D173" i="22"/>
  <c r="Z172" i="22"/>
  <c r="G172" i="22"/>
  <c r="F172" i="22"/>
  <c r="E172" i="22"/>
  <c r="D172" i="22"/>
  <c r="C172" i="22"/>
  <c r="Z171" i="22"/>
  <c r="G171" i="22"/>
  <c r="F171" i="22"/>
  <c r="C171" i="22" s="1"/>
  <c r="E171" i="22"/>
  <c r="D171" i="22"/>
  <c r="Z170" i="22"/>
  <c r="AA170" i="22" s="1"/>
  <c r="G170" i="22"/>
  <c r="F170" i="22"/>
  <c r="E170" i="22"/>
  <c r="D170" i="22"/>
  <c r="C170" i="22"/>
  <c r="Z169" i="22"/>
  <c r="AA169" i="22" s="1"/>
  <c r="G169" i="22"/>
  <c r="F169" i="22"/>
  <c r="C169" i="22" s="1"/>
  <c r="E169" i="22"/>
  <c r="D169" i="22"/>
  <c r="Z168" i="22"/>
  <c r="G168" i="22"/>
  <c r="AA168" i="22" s="1"/>
  <c r="F168" i="22"/>
  <c r="E168" i="22"/>
  <c r="D168" i="22"/>
  <c r="C168" i="22"/>
  <c r="Z167" i="22"/>
  <c r="G167" i="22"/>
  <c r="F167" i="22"/>
  <c r="C167" i="22" s="1"/>
  <c r="E167" i="22"/>
  <c r="D167" i="22"/>
  <c r="Z166" i="22"/>
  <c r="AA166" i="22" s="1"/>
  <c r="G166" i="22"/>
  <c r="F166" i="22"/>
  <c r="E166" i="22"/>
  <c r="D166" i="22"/>
  <c r="C166" i="22"/>
  <c r="Z165" i="22"/>
  <c r="AA165" i="22" s="1"/>
  <c r="G165" i="22"/>
  <c r="F165" i="22"/>
  <c r="C165" i="22" s="1"/>
  <c r="E165" i="22"/>
  <c r="D165" i="22"/>
  <c r="Z164" i="22"/>
  <c r="G164" i="22"/>
  <c r="F164" i="22"/>
  <c r="E164" i="22"/>
  <c r="D164" i="22"/>
  <c r="C164" i="22"/>
  <c r="Z163" i="22"/>
  <c r="G163" i="22"/>
  <c r="F163" i="22"/>
  <c r="C163" i="22" s="1"/>
  <c r="E163" i="22"/>
  <c r="D163" i="22"/>
  <c r="Z162" i="22"/>
  <c r="AA162" i="22" s="1"/>
  <c r="G162" i="22"/>
  <c r="F162" i="22"/>
  <c r="E162" i="22"/>
  <c r="D162" i="22"/>
  <c r="C162" i="22"/>
  <c r="Z161" i="22"/>
  <c r="AA161" i="22" s="1"/>
  <c r="G161" i="22"/>
  <c r="F161" i="22"/>
  <c r="C161" i="22" s="1"/>
  <c r="E161" i="22"/>
  <c r="D161" i="22"/>
  <c r="Z160" i="22"/>
  <c r="G160" i="22"/>
  <c r="F160" i="22"/>
  <c r="E160" i="22"/>
  <c r="D160" i="22"/>
  <c r="C160" i="22"/>
  <c r="Z159" i="22"/>
  <c r="G159" i="22"/>
  <c r="F159" i="22"/>
  <c r="C159" i="22" s="1"/>
  <c r="E159" i="22"/>
  <c r="D159" i="22"/>
  <c r="Z158" i="22"/>
  <c r="AA158" i="22" s="1"/>
  <c r="G158" i="22"/>
  <c r="F158" i="22"/>
  <c r="E158" i="22"/>
  <c r="D158" i="22"/>
  <c r="C158" i="22"/>
  <c r="Z157" i="22"/>
  <c r="AA157" i="22" s="1"/>
  <c r="G157" i="22"/>
  <c r="F157" i="22"/>
  <c r="C157" i="22" s="1"/>
  <c r="E157" i="22"/>
  <c r="D157" i="22"/>
  <c r="Z156" i="22"/>
  <c r="G156" i="22"/>
  <c r="F156" i="22"/>
  <c r="E156" i="22"/>
  <c r="D156" i="22"/>
  <c r="C156" i="22"/>
  <c r="Z155" i="22"/>
  <c r="G155" i="22"/>
  <c r="F155" i="22"/>
  <c r="C155" i="22" s="1"/>
  <c r="E155" i="22"/>
  <c r="D155" i="22"/>
  <c r="Z154" i="22"/>
  <c r="AA154" i="22" s="1"/>
  <c r="G154" i="22"/>
  <c r="F154" i="22"/>
  <c r="E154" i="22"/>
  <c r="D154" i="22"/>
  <c r="C154" i="22"/>
  <c r="Z153" i="22"/>
  <c r="AA153" i="22" s="1"/>
  <c r="G153" i="22"/>
  <c r="F153" i="22"/>
  <c r="C153" i="22" s="1"/>
  <c r="E153" i="22"/>
  <c r="D153" i="22"/>
  <c r="Z152" i="22"/>
  <c r="G152" i="22"/>
  <c r="F152" i="22"/>
  <c r="E152" i="22"/>
  <c r="D152" i="22"/>
  <c r="C152" i="22"/>
  <c r="Z151" i="22"/>
  <c r="G151" i="22"/>
  <c r="F151" i="22"/>
  <c r="C151" i="22" s="1"/>
  <c r="E151" i="22"/>
  <c r="D151" i="22"/>
  <c r="Z150" i="22"/>
  <c r="AA150" i="22" s="1"/>
  <c r="G150" i="22"/>
  <c r="F150" i="22"/>
  <c r="E150" i="22"/>
  <c r="D150" i="22"/>
  <c r="C150" i="22"/>
  <c r="Z149" i="22"/>
  <c r="AA149" i="22" s="1"/>
  <c r="G149" i="22"/>
  <c r="F149" i="22"/>
  <c r="C149" i="22" s="1"/>
  <c r="E149" i="22"/>
  <c r="D149" i="22"/>
  <c r="Z148" i="22"/>
  <c r="G148" i="22"/>
  <c r="F148" i="22"/>
  <c r="E148" i="22"/>
  <c r="D148" i="22"/>
  <c r="C148" i="22"/>
  <c r="Z147" i="22"/>
  <c r="G147" i="22"/>
  <c r="F147" i="22"/>
  <c r="C147" i="22" s="1"/>
  <c r="E147" i="22"/>
  <c r="D147" i="22"/>
  <c r="Z146" i="22"/>
  <c r="AA146" i="22" s="1"/>
  <c r="G146" i="22"/>
  <c r="F146" i="22"/>
  <c r="E146" i="22"/>
  <c r="D146" i="22"/>
  <c r="C146" i="22"/>
  <c r="Z145" i="22"/>
  <c r="AA145" i="22" s="1"/>
  <c r="G145" i="22"/>
  <c r="F145" i="22"/>
  <c r="C145" i="22" s="1"/>
  <c r="E145" i="22"/>
  <c r="D145" i="22"/>
  <c r="Z144" i="22"/>
  <c r="G144" i="22"/>
  <c r="F144" i="22"/>
  <c r="E144" i="22"/>
  <c r="D144" i="22"/>
  <c r="C144" i="22"/>
  <c r="Z143" i="22"/>
  <c r="G143" i="22"/>
  <c r="F143" i="22"/>
  <c r="C143" i="22" s="1"/>
  <c r="E143" i="22"/>
  <c r="D143" i="22"/>
  <c r="Z142" i="22"/>
  <c r="AA142" i="22" s="1"/>
  <c r="G142" i="22"/>
  <c r="F142" i="22"/>
  <c r="E142" i="22"/>
  <c r="D142" i="22"/>
  <c r="C142" i="22"/>
  <c r="Z141" i="22"/>
  <c r="AA141" i="22" s="1"/>
  <c r="G141" i="22"/>
  <c r="F141" i="22"/>
  <c r="C141" i="22" s="1"/>
  <c r="E141" i="22"/>
  <c r="D141" i="22"/>
  <c r="Z140" i="22"/>
  <c r="G140" i="22"/>
  <c r="F140" i="22"/>
  <c r="E140" i="22"/>
  <c r="D140" i="22"/>
  <c r="C140" i="22"/>
  <c r="Z139" i="22"/>
  <c r="G139" i="22"/>
  <c r="F139" i="22"/>
  <c r="C139" i="22" s="1"/>
  <c r="E139" i="22"/>
  <c r="D139" i="22"/>
  <c r="Z138" i="22"/>
  <c r="G138" i="22"/>
  <c r="F138" i="22"/>
  <c r="E138" i="22"/>
  <c r="D138" i="22"/>
  <c r="C138" i="22"/>
  <c r="Z137" i="22"/>
  <c r="AA137" i="22" s="1"/>
  <c r="G137" i="22"/>
  <c r="F137" i="22"/>
  <c r="C137" i="22" s="1"/>
  <c r="E137" i="22"/>
  <c r="D137" i="22"/>
  <c r="Z136" i="22"/>
  <c r="G136" i="22"/>
  <c r="F136" i="22"/>
  <c r="E136" i="22"/>
  <c r="D136" i="22"/>
  <c r="C136" i="22"/>
  <c r="Z135" i="22"/>
  <c r="G135" i="22"/>
  <c r="F135" i="22"/>
  <c r="C135" i="22" s="1"/>
  <c r="E135" i="22"/>
  <c r="D135" i="22"/>
  <c r="Z134" i="22"/>
  <c r="G134" i="22"/>
  <c r="F134" i="22"/>
  <c r="E134" i="22"/>
  <c r="D134" i="22"/>
  <c r="C134" i="22"/>
  <c r="Z133" i="22"/>
  <c r="AA133" i="22" s="1"/>
  <c r="G133" i="22"/>
  <c r="F133" i="22"/>
  <c r="C133" i="22" s="1"/>
  <c r="E133" i="22"/>
  <c r="D133" i="22"/>
  <c r="Z132" i="22"/>
  <c r="G132" i="22"/>
  <c r="AA132" i="22" s="1"/>
  <c r="F132" i="22"/>
  <c r="E132" i="22"/>
  <c r="D132" i="22"/>
  <c r="C132" i="22"/>
  <c r="Z131" i="22"/>
  <c r="G131" i="22"/>
  <c r="F131" i="22"/>
  <c r="C131" i="22" s="1"/>
  <c r="E131" i="22"/>
  <c r="D131" i="22"/>
  <c r="Z130" i="22"/>
  <c r="G130" i="22"/>
  <c r="F130" i="22"/>
  <c r="E130" i="22"/>
  <c r="D130" i="22"/>
  <c r="C130" i="22"/>
  <c r="Z129" i="22"/>
  <c r="AA129" i="22" s="1"/>
  <c r="G129" i="22"/>
  <c r="F129" i="22"/>
  <c r="C129" i="22" s="1"/>
  <c r="E129" i="22"/>
  <c r="D129" i="22"/>
  <c r="Z128" i="22"/>
  <c r="G128" i="22"/>
  <c r="F128" i="22"/>
  <c r="E128" i="22"/>
  <c r="D128" i="22"/>
  <c r="C128" i="22"/>
  <c r="Z127" i="22"/>
  <c r="G127" i="22"/>
  <c r="F127" i="22"/>
  <c r="C127" i="22" s="1"/>
  <c r="E127" i="22"/>
  <c r="D127" i="22"/>
  <c r="Z126" i="22"/>
  <c r="G126" i="22"/>
  <c r="F126" i="22"/>
  <c r="E126" i="22"/>
  <c r="D126" i="22"/>
  <c r="C126" i="22"/>
  <c r="Z125" i="22"/>
  <c r="AA125" i="22" s="1"/>
  <c r="G125" i="22"/>
  <c r="F125" i="22"/>
  <c r="C125" i="22" s="1"/>
  <c r="E125" i="22"/>
  <c r="D125" i="22"/>
  <c r="Z124" i="22"/>
  <c r="G124" i="22"/>
  <c r="AA124" i="22" s="1"/>
  <c r="F124" i="22"/>
  <c r="E124" i="22"/>
  <c r="D124" i="22"/>
  <c r="C124" i="22"/>
  <c r="Z123" i="22"/>
  <c r="G123" i="22"/>
  <c r="F123" i="22"/>
  <c r="C123" i="22" s="1"/>
  <c r="E123" i="22"/>
  <c r="D123" i="22"/>
  <c r="Z122" i="22"/>
  <c r="G122" i="22"/>
  <c r="F122" i="22"/>
  <c r="E122" i="22"/>
  <c r="D122" i="22"/>
  <c r="C122" i="22"/>
  <c r="Z121" i="22"/>
  <c r="AA121" i="22" s="1"/>
  <c r="G121" i="22"/>
  <c r="F121" i="22"/>
  <c r="C121" i="22" s="1"/>
  <c r="E121" i="22"/>
  <c r="D121" i="22"/>
  <c r="Z120" i="22"/>
  <c r="G120" i="22"/>
  <c r="F120" i="22"/>
  <c r="E120" i="22"/>
  <c r="D120" i="22"/>
  <c r="C120" i="22"/>
  <c r="Z119" i="22"/>
  <c r="G119" i="22"/>
  <c r="F119" i="22"/>
  <c r="C119" i="22" s="1"/>
  <c r="E119" i="22"/>
  <c r="D119" i="22"/>
  <c r="Z118" i="22"/>
  <c r="G118" i="22"/>
  <c r="F118" i="22"/>
  <c r="E118" i="22"/>
  <c r="D118" i="22"/>
  <c r="C118" i="22"/>
  <c r="Z117" i="22"/>
  <c r="AA117" i="22" s="1"/>
  <c r="G117" i="22"/>
  <c r="F117" i="22"/>
  <c r="C117" i="22" s="1"/>
  <c r="E117" i="22"/>
  <c r="D117" i="22"/>
  <c r="Z116" i="22"/>
  <c r="G116" i="22"/>
  <c r="AA116" i="22" s="1"/>
  <c r="F116" i="22"/>
  <c r="E116" i="22"/>
  <c r="D116" i="22"/>
  <c r="C116" i="22"/>
  <c r="Z115" i="22"/>
  <c r="G115" i="22"/>
  <c r="F115" i="22"/>
  <c r="C115" i="22" s="1"/>
  <c r="E115" i="22"/>
  <c r="D115" i="22"/>
  <c r="Z114" i="22"/>
  <c r="G114" i="22"/>
  <c r="F114" i="22"/>
  <c r="E114" i="22"/>
  <c r="D114" i="22"/>
  <c r="C114" i="22"/>
  <c r="Z113" i="22"/>
  <c r="AA113" i="22" s="1"/>
  <c r="G113" i="22"/>
  <c r="F113" i="22"/>
  <c r="C113" i="22" s="1"/>
  <c r="E113" i="22"/>
  <c r="D113" i="22"/>
  <c r="Z112" i="22"/>
  <c r="G112" i="22"/>
  <c r="F112" i="22"/>
  <c r="E112" i="22"/>
  <c r="D112" i="22"/>
  <c r="C112" i="22"/>
  <c r="Z111" i="22"/>
  <c r="G111" i="22"/>
  <c r="F111" i="22"/>
  <c r="C111" i="22" s="1"/>
  <c r="E111" i="22"/>
  <c r="D111" i="22"/>
  <c r="Z110" i="22"/>
  <c r="G110" i="22"/>
  <c r="F110" i="22"/>
  <c r="E110" i="22"/>
  <c r="D110" i="22"/>
  <c r="C110" i="22"/>
  <c r="Z109" i="22"/>
  <c r="AA109" i="22" s="1"/>
  <c r="G109" i="22"/>
  <c r="F109" i="22"/>
  <c r="C109" i="22" s="1"/>
  <c r="E109" i="22"/>
  <c r="D109" i="22"/>
  <c r="Z108" i="22"/>
  <c r="G108" i="22"/>
  <c r="AA108" i="22" s="1"/>
  <c r="F108" i="22"/>
  <c r="E108" i="22"/>
  <c r="D108" i="22"/>
  <c r="C108" i="22"/>
  <c r="Z107" i="22"/>
  <c r="G107" i="22"/>
  <c r="F107" i="22"/>
  <c r="C107" i="22" s="1"/>
  <c r="E107" i="22"/>
  <c r="D107" i="22"/>
  <c r="Z106" i="22"/>
  <c r="G106" i="22"/>
  <c r="F106" i="22"/>
  <c r="E106" i="22"/>
  <c r="D106" i="22"/>
  <c r="C106" i="22"/>
  <c r="Z105" i="22"/>
  <c r="AA105" i="22" s="1"/>
  <c r="G105" i="22"/>
  <c r="F105" i="22"/>
  <c r="C105" i="22" s="1"/>
  <c r="E105" i="22"/>
  <c r="D105" i="22"/>
  <c r="Z104" i="22"/>
  <c r="G104" i="22"/>
  <c r="F104" i="22"/>
  <c r="E104" i="22"/>
  <c r="D104" i="22"/>
  <c r="C104" i="22"/>
  <c r="Z103" i="22"/>
  <c r="G103" i="22"/>
  <c r="F103" i="22"/>
  <c r="C103" i="22" s="1"/>
  <c r="E103" i="22"/>
  <c r="D103" i="22"/>
  <c r="Z102" i="22"/>
  <c r="G102" i="22"/>
  <c r="F102" i="22"/>
  <c r="E102" i="22"/>
  <c r="D102" i="22"/>
  <c r="C102" i="22"/>
  <c r="Z101" i="22"/>
  <c r="AA101" i="22" s="1"/>
  <c r="G101" i="22"/>
  <c r="F101" i="22"/>
  <c r="C101" i="22" s="1"/>
  <c r="E101" i="22"/>
  <c r="D101" i="22"/>
  <c r="Z100" i="22"/>
  <c r="G100" i="22"/>
  <c r="AA100" i="22" s="1"/>
  <c r="F100" i="22"/>
  <c r="E100" i="22"/>
  <c r="D100" i="22"/>
  <c r="C100" i="22"/>
  <c r="Z99" i="22"/>
  <c r="G99" i="22"/>
  <c r="F99" i="22"/>
  <c r="C99" i="22" s="1"/>
  <c r="E99" i="22"/>
  <c r="D99" i="22"/>
  <c r="Z98" i="22"/>
  <c r="G98" i="22"/>
  <c r="F98" i="22"/>
  <c r="E98" i="22"/>
  <c r="D98" i="22"/>
  <c r="C98" i="22"/>
  <c r="Z97" i="22"/>
  <c r="AA97" i="22" s="1"/>
  <c r="G97" i="22"/>
  <c r="F97" i="22"/>
  <c r="C97" i="22" s="1"/>
  <c r="E97" i="22"/>
  <c r="D97" i="22"/>
  <c r="Z96" i="22"/>
  <c r="G96" i="22"/>
  <c r="F96" i="22"/>
  <c r="E96" i="22"/>
  <c r="D96" i="22"/>
  <c r="C96" i="22"/>
  <c r="Z95" i="22"/>
  <c r="G95" i="22"/>
  <c r="F95" i="22"/>
  <c r="C95" i="22" s="1"/>
  <c r="E95" i="22"/>
  <c r="D95" i="22"/>
  <c r="Z94" i="22"/>
  <c r="G94" i="22"/>
  <c r="F94" i="22"/>
  <c r="E94" i="22"/>
  <c r="D94" i="22"/>
  <c r="C94" i="22"/>
  <c r="Z93" i="22"/>
  <c r="AA93" i="22" s="1"/>
  <c r="G93" i="22"/>
  <c r="F93" i="22"/>
  <c r="C93" i="22" s="1"/>
  <c r="E93" i="22"/>
  <c r="D93" i="22"/>
  <c r="Z92" i="22"/>
  <c r="G92" i="22"/>
  <c r="AA92" i="22" s="1"/>
  <c r="F92" i="22"/>
  <c r="E92" i="22"/>
  <c r="D92" i="22"/>
  <c r="C92" i="22"/>
  <c r="Z91" i="22"/>
  <c r="G91" i="22"/>
  <c r="F91" i="22"/>
  <c r="C91" i="22" s="1"/>
  <c r="E91" i="22"/>
  <c r="D91" i="22"/>
  <c r="Z90" i="22"/>
  <c r="G90" i="22"/>
  <c r="F90" i="22"/>
  <c r="E90" i="22"/>
  <c r="D90" i="22"/>
  <c r="C90" i="22"/>
  <c r="Z89" i="22"/>
  <c r="AA89" i="22" s="1"/>
  <c r="G89" i="22"/>
  <c r="F89" i="22"/>
  <c r="C89" i="22" s="1"/>
  <c r="E89" i="22"/>
  <c r="D89" i="22"/>
  <c r="Z88" i="22"/>
  <c r="G88" i="22"/>
  <c r="F88" i="22"/>
  <c r="E88" i="22"/>
  <c r="D88" i="22"/>
  <c r="C88" i="22"/>
  <c r="Z87" i="22"/>
  <c r="G87" i="22"/>
  <c r="F87" i="22"/>
  <c r="C87" i="22" s="1"/>
  <c r="E87" i="22"/>
  <c r="D87" i="22"/>
  <c r="Z86" i="22"/>
  <c r="G86" i="22"/>
  <c r="F86" i="22"/>
  <c r="E86" i="22"/>
  <c r="D86" i="22"/>
  <c r="C86" i="22"/>
  <c r="Z85" i="22"/>
  <c r="AA85" i="22" s="1"/>
  <c r="G85" i="22"/>
  <c r="F85" i="22"/>
  <c r="C85" i="22" s="1"/>
  <c r="E85" i="22"/>
  <c r="D85" i="22"/>
  <c r="Z84" i="22"/>
  <c r="G84" i="22"/>
  <c r="AA84" i="22" s="1"/>
  <c r="F84" i="22"/>
  <c r="E84" i="22"/>
  <c r="D84" i="22"/>
  <c r="C84" i="22"/>
  <c r="Z83" i="22"/>
  <c r="G83" i="22"/>
  <c r="F83" i="22"/>
  <c r="C83" i="22" s="1"/>
  <c r="E83" i="22"/>
  <c r="D83" i="22"/>
  <c r="Z82" i="22"/>
  <c r="G82" i="22"/>
  <c r="F82" i="22"/>
  <c r="E82" i="22"/>
  <c r="D82" i="22"/>
  <c r="C82" i="22"/>
  <c r="Z81" i="22"/>
  <c r="AA81" i="22" s="1"/>
  <c r="G81" i="22"/>
  <c r="F81" i="22"/>
  <c r="C81" i="22" s="1"/>
  <c r="E81" i="22"/>
  <c r="D81" i="22"/>
  <c r="Z80" i="22"/>
  <c r="G80" i="22"/>
  <c r="F80" i="22"/>
  <c r="E80" i="22"/>
  <c r="D80" i="22"/>
  <c r="C80" i="22"/>
  <c r="Z79" i="22"/>
  <c r="G79" i="22"/>
  <c r="F79" i="22"/>
  <c r="C79" i="22" s="1"/>
  <c r="E79" i="22"/>
  <c r="D79" i="22"/>
  <c r="Z78" i="22"/>
  <c r="G78" i="22"/>
  <c r="F78" i="22"/>
  <c r="E78" i="22"/>
  <c r="D78" i="22"/>
  <c r="C78" i="22"/>
  <c r="Z77" i="22"/>
  <c r="AA77" i="22" s="1"/>
  <c r="G77" i="22"/>
  <c r="F77" i="22"/>
  <c r="C77" i="22" s="1"/>
  <c r="E77" i="22"/>
  <c r="D77" i="22"/>
  <c r="Z76" i="22"/>
  <c r="G76" i="22"/>
  <c r="AA76" i="22" s="1"/>
  <c r="F76" i="22"/>
  <c r="E76" i="22"/>
  <c r="D76" i="22"/>
  <c r="C76" i="22"/>
  <c r="Z75" i="22"/>
  <c r="G75" i="22"/>
  <c r="F75" i="22"/>
  <c r="C75" i="22" s="1"/>
  <c r="E75" i="22"/>
  <c r="D75" i="22"/>
  <c r="Z74" i="22"/>
  <c r="G74" i="22"/>
  <c r="F74" i="22"/>
  <c r="E74" i="22"/>
  <c r="D74" i="22"/>
  <c r="C74" i="22"/>
  <c r="Z73" i="22"/>
  <c r="AA73" i="22" s="1"/>
  <c r="G73" i="22"/>
  <c r="F73" i="22"/>
  <c r="C73" i="22" s="1"/>
  <c r="E73" i="22"/>
  <c r="D73" i="22"/>
  <c r="Z72" i="22"/>
  <c r="G72" i="22"/>
  <c r="F72" i="22"/>
  <c r="E72" i="22"/>
  <c r="D72" i="22"/>
  <c r="C72" i="22"/>
  <c r="Z71" i="22"/>
  <c r="G71" i="22"/>
  <c r="F71" i="22"/>
  <c r="C71" i="22" s="1"/>
  <c r="E71" i="22"/>
  <c r="D71" i="22"/>
  <c r="Z70" i="22"/>
  <c r="G70" i="22"/>
  <c r="F70" i="22"/>
  <c r="E70" i="22"/>
  <c r="D70" i="22"/>
  <c r="C70" i="22"/>
  <c r="Z69" i="22"/>
  <c r="AA69" i="22" s="1"/>
  <c r="G69" i="22"/>
  <c r="F69" i="22"/>
  <c r="C69" i="22" s="1"/>
  <c r="E69" i="22"/>
  <c r="D69" i="22"/>
  <c r="Z68" i="22"/>
  <c r="G68" i="22"/>
  <c r="AA68" i="22" s="1"/>
  <c r="F68" i="22"/>
  <c r="E68" i="22"/>
  <c r="D68" i="22"/>
  <c r="C68" i="22"/>
  <c r="Z67" i="22"/>
  <c r="G67" i="22"/>
  <c r="F67" i="22"/>
  <c r="C67" i="22" s="1"/>
  <c r="E67" i="22"/>
  <c r="D67" i="22"/>
  <c r="Z66" i="22"/>
  <c r="G66" i="22"/>
  <c r="F66" i="22"/>
  <c r="E66" i="22"/>
  <c r="D66" i="22"/>
  <c r="C66" i="22"/>
  <c r="Z65" i="22"/>
  <c r="AA65" i="22" s="1"/>
  <c r="G65" i="22"/>
  <c r="F65" i="22"/>
  <c r="C65" i="22" s="1"/>
  <c r="E65" i="22"/>
  <c r="D65" i="22"/>
  <c r="Z64" i="22"/>
  <c r="G64" i="22"/>
  <c r="F64" i="22"/>
  <c r="E64" i="22"/>
  <c r="D64" i="22"/>
  <c r="C64" i="22"/>
  <c r="Z63" i="22"/>
  <c r="G63" i="22"/>
  <c r="F63" i="22"/>
  <c r="C63" i="22" s="1"/>
  <c r="E63" i="22"/>
  <c r="D63" i="22"/>
  <c r="Z62" i="22"/>
  <c r="G62" i="22"/>
  <c r="F62" i="22"/>
  <c r="E62" i="22"/>
  <c r="D62" i="22"/>
  <c r="C62" i="22"/>
  <c r="Z61" i="22"/>
  <c r="AA61" i="22" s="1"/>
  <c r="G61" i="22"/>
  <c r="F61" i="22"/>
  <c r="C61" i="22" s="1"/>
  <c r="E61" i="22"/>
  <c r="D61" i="22"/>
  <c r="Z60" i="22"/>
  <c r="G60" i="22"/>
  <c r="AA60" i="22" s="1"/>
  <c r="F60" i="22"/>
  <c r="E60" i="22"/>
  <c r="D60" i="22"/>
  <c r="C60" i="22"/>
  <c r="Z59" i="22"/>
  <c r="G59" i="22"/>
  <c r="F59" i="22"/>
  <c r="C59" i="22" s="1"/>
  <c r="E59" i="22"/>
  <c r="D59" i="22"/>
  <c r="Z58" i="22"/>
  <c r="G58" i="22"/>
  <c r="F58" i="22"/>
  <c r="E58" i="22"/>
  <c r="D58" i="22"/>
  <c r="C58" i="22"/>
  <c r="Z57" i="22"/>
  <c r="AA57" i="22" s="1"/>
  <c r="G57" i="22"/>
  <c r="F57" i="22"/>
  <c r="C57" i="22" s="1"/>
  <c r="E57" i="22"/>
  <c r="D57" i="22"/>
  <c r="Z56" i="22"/>
  <c r="G56" i="22"/>
  <c r="F56" i="22"/>
  <c r="E56" i="22"/>
  <c r="D56" i="22"/>
  <c r="C56" i="22"/>
  <c r="Z55" i="22"/>
  <c r="G55" i="22"/>
  <c r="F55" i="22"/>
  <c r="C55" i="22" s="1"/>
  <c r="E55" i="22"/>
  <c r="D55" i="22"/>
  <c r="Z54" i="22"/>
  <c r="G54" i="22"/>
  <c r="F54" i="22"/>
  <c r="E54" i="22"/>
  <c r="D54" i="22"/>
  <c r="C54" i="22"/>
  <c r="Z53" i="22"/>
  <c r="AA53" i="22" s="1"/>
  <c r="G53" i="22"/>
  <c r="F53" i="22"/>
  <c r="C53" i="22" s="1"/>
  <c r="E53" i="22"/>
  <c r="D53" i="22"/>
  <c r="Z52" i="22"/>
  <c r="G52" i="22"/>
  <c r="AA52" i="22" s="1"/>
  <c r="F52" i="22"/>
  <c r="E52" i="22"/>
  <c r="D52" i="22"/>
  <c r="C52" i="22"/>
  <c r="Z51" i="22"/>
  <c r="AA51" i="22" s="1"/>
  <c r="G51" i="22"/>
  <c r="F51" i="22"/>
  <c r="C51" i="22" s="1"/>
  <c r="E51" i="22"/>
  <c r="D51" i="22"/>
  <c r="Z50" i="22"/>
  <c r="G50" i="22"/>
  <c r="F50" i="22"/>
  <c r="E50" i="22"/>
  <c r="D50" i="22"/>
  <c r="C50" i="22"/>
  <c r="Z49" i="22"/>
  <c r="G49" i="22"/>
  <c r="F49" i="22"/>
  <c r="E49" i="22"/>
  <c r="D49" i="22"/>
  <c r="C49" i="22"/>
  <c r="Z48" i="22"/>
  <c r="AA48" i="22" s="1"/>
  <c r="G48" i="22"/>
  <c r="F48" i="22"/>
  <c r="C48" i="22" s="1"/>
  <c r="E48" i="22"/>
  <c r="D48" i="22"/>
  <c r="Z47" i="22"/>
  <c r="G47" i="22"/>
  <c r="F47" i="22"/>
  <c r="C47" i="22" s="1"/>
  <c r="E47" i="22"/>
  <c r="D47" i="22"/>
  <c r="Z46" i="22"/>
  <c r="G46" i="22"/>
  <c r="F46" i="22"/>
  <c r="E46" i="22"/>
  <c r="D46" i="22"/>
  <c r="C46" i="22"/>
  <c r="Z45" i="22"/>
  <c r="AA45" i="22" s="1"/>
  <c r="G45" i="22"/>
  <c r="F45" i="22"/>
  <c r="E45" i="22"/>
  <c r="D45" i="22"/>
  <c r="C45" i="22"/>
  <c r="Z44" i="22"/>
  <c r="G44" i="22"/>
  <c r="F44" i="22"/>
  <c r="E44" i="22"/>
  <c r="D44" i="22"/>
  <c r="C44" i="22"/>
  <c r="Z43" i="22"/>
  <c r="G43" i="22"/>
  <c r="AA43" i="22" s="1"/>
  <c r="F43" i="22"/>
  <c r="C43" i="22" s="1"/>
  <c r="E43" i="22"/>
  <c r="D43" i="22"/>
  <c r="AA42" i="22"/>
  <c r="Z42" i="22"/>
  <c r="G42" i="22"/>
  <c r="F42" i="22"/>
  <c r="E42" i="22"/>
  <c r="D42" i="22"/>
  <c r="C42" i="22"/>
  <c r="Z41" i="22"/>
  <c r="G41" i="22"/>
  <c r="F41" i="22"/>
  <c r="E41" i="22"/>
  <c r="D41" i="22"/>
  <c r="C41" i="22"/>
  <c r="Z40" i="22"/>
  <c r="G40" i="22"/>
  <c r="F40" i="22"/>
  <c r="C40" i="22" s="1"/>
  <c r="E40" i="22"/>
  <c r="D40" i="22"/>
  <c r="Z39" i="22"/>
  <c r="AA39" i="22" s="1"/>
  <c r="G39" i="22"/>
  <c r="F39" i="22"/>
  <c r="C39" i="22" s="1"/>
  <c r="E39" i="22"/>
  <c r="D39" i="22"/>
  <c r="Z38" i="22"/>
  <c r="G38" i="22"/>
  <c r="AA38" i="22" s="1"/>
  <c r="F38" i="22"/>
  <c r="E38" i="22"/>
  <c r="D38" i="22"/>
  <c r="C38" i="22"/>
  <c r="Z37" i="22"/>
  <c r="G37" i="22"/>
  <c r="F37" i="22"/>
  <c r="E37" i="22"/>
  <c r="D37" i="22"/>
  <c r="C37" i="22"/>
  <c r="Z36" i="22"/>
  <c r="G36" i="22"/>
  <c r="AA36" i="22" s="1"/>
  <c r="F36" i="22"/>
  <c r="E36" i="22"/>
  <c r="D36" i="22"/>
  <c r="C36" i="22"/>
  <c r="Z35" i="22"/>
  <c r="G35" i="22"/>
  <c r="F35" i="22"/>
  <c r="C35" i="22" s="1"/>
  <c r="E35" i="22"/>
  <c r="D35" i="22"/>
  <c r="Z34" i="22"/>
  <c r="AA34" i="22" s="1"/>
  <c r="G34" i="22"/>
  <c r="F34" i="22"/>
  <c r="E34" i="22"/>
  <c r="D34" i="22"/>
  <c r="C34" i="22"/>
  <c r="Z33" i="22"/>
  <c r="G33" i="22"/>
  <c r="F33" i="22"/>
  <c r="C33" i="22" s="1"/>
  <c r="E33" i="22"/>
  <c r="D33" i="22"/>
  <c r="Z32" i="22"/>
  <c r="G32" i="22"/>
  <c r="F32" i="22"/>
  <c r="C32" i="22" s="1"/>
  <c r="E32" i="22"/>
  <c r="D32" i="22"/>
  <c r="Z31" i="22"/>
  <c r="AA31" i="22" s="1"/>
  <c r="G31" i="22"/>
  <c r="F31" i="22"/>
  <c r="C31" i="22" s="1"/>
  <c r="E31" i="22"/>
  <c r="D31" i="22"/>
  <c r="Z30" i="22"/>
  <c r="G30" i="22"/>
  <c r="F30" i="22"/>
  <c r="E30" i="22"/>
  <c r="D30" i="22"/>
  <c r="C30" i="22"/>
  <c r="Z29" i="22"/>
  <c r="G29" i="22"/>
  <c r="F29" i="22"/>
  <c r="E29" i="22"/>
  <c r="D29" i="22"/>
  <c r="C29" i="22"/>
  <c r="Z28" i="22"/>
  <c r="G28" i="22"/>
  <c r="F28" i="22"/>
  <c r="E28" i="22"/>
  <c r="D28" i="22"/>
  <c r="C28" i="22"/>
  <c r="Z27" i="22"/>
  <c r="AA27" i="22" s="1"/>
  <c r="G27" i="22"/>
  <c r="F27" i="22"/>
  <c r="C27" i="22" s="1"/>
  <c r="E27" i="22"/>
  <c r="D27" i="22"/>
  <c r="Z26" i="22"/>
  <c r="G26" i="22"/>
  <c r="F26" i="22"/>
  <c r="E26" i="22"/>
  <c r="D26" i="22"/>
  <c r="C26" i="22"/>
  <c r="Z25" i="22"/>
  <c r="G25" i="22"/>
  <c r="F25" i="22"/>
  <c r="C25" i="22" s="1"/>
  <c r="E25" i="22"/>
  <c r="D25" i="22"/>
  <c r="Z24" i="22"/>
  <c r="AA24" i="22" s="1"/>
  <c r="G24" i="22"/>
  <c r="F24" i="22"/>
  <c r="C24" i="22" s="1"/>
  <c r="E24" i="22"/>
  <c r="D24" i="22"/>
  <c r="Z23" i="22"/>
  <c r="G23" i="22"/>
  <c r="F23" i="22"/>
  <c r="C23" i="22" s="1"/>
  <c r="E23" i="22"/>
  <c r="D23" i="22"/>
  <c r="Z22" i="22"/>
  <c r="G22" i="22"/>
  <c r="F22" i="22"/>
  <c r="E22" i="22"/>
  <c r="D22" i="22"/>
  <c r="C22" i="22"/>
  <c r="Z21" i="22"/>
  <c r="AA21" i="22" s="1"/>
  <c r="G21" i="22"/>
  <c r="F21" i="22"/>
  <c r="E21" i="22"/>
  <c r="D21" i="22"/>
  <c r="C21" i="22"/>
  <c r="Z20" i="22"/>
  <c r="G20" i="22"/>
  <c r="F20" i="22"/>
  <c r="E20" i="22"/>
  <c r="D20" i="22"/>
  <c r="C20" i="22"/>
  <c r="Z19" i="22"/>
  <c r="G19" i="22"/>
  <c r="AA19" i="22" s="1"/>
  <c r="F19" i="22"/>
  <c r="C19" i="22" s="1"/>
  <c r="E19" i="22"/>
  <c r="D19" i="22"/>
  <c r="Z18" i="22"/>
  <c r="AA18" i="22" s="1"/>
  <c r="G18" i="22"/>
  <c r="F18" i="22"/>
  <c r="E18" i="22"/>
  <c r="D18" i="22"/>
  <c r="C18" i="22"/>
  <c r="Z17" i="22"/>
  <c r="G17" i="22"/>
  <c r="F17" i="22"/>
  <c r="C17" i="22" s="1"/>
  <c r="E17" i="22"/>
  <c r="D17" i="22"/>
  <c r="Z16" i="22"/>
  <c r="G16" i="22"/>
  <c r="F16" i="22"/>
  <c r="C16" i="22" s="1"/>
  <c r="E16" i="22"/>
  <c r="D16" i="22"/>
  <c r="Z15" i="22"/>
  <c r="AA15" i="22" s="1"/>
  <c r="G15" i="22"/>
  <c r="F15" i="22"/>
  <c r="C15" i="22" s="1"/>
  <c r="E15" i="22"/>
  <c r="D15" i="22"/>
  <c r="Z14" i="22"/>
  <c r="G14" i="22"/>
  <c r="F14" i="22"/>
  <c r="E14" i="22"/>
  <c r="D14" i="22"/>
  <c r="C14" i="22"/>
  <c r="Z13" i="22"/>
  <c r="G13" i="22"/>
  <c r="F13" i="22"/>
  <c r="E13" i="22"/>
  <c r="D13" i="22"/>
  <c r="C13" i="22"/>
  <c r="Z12" i="22"/>
  <c r="G12" i="22"/>
  <c r="F12" i="22"/>
  <c r="E12" i="22"/>
  <c r="D12" i="22"/>
  <c r="C12" i="22"/>
  <c r="Z11" i="22"/>
  <c r="AA11" i="22" s="1"/>
  <c r="G11" i="22"/>
  <c r="F11" i="22"/>
  <c r="C11" i="22" s="1"/>
  <c r="E11" i="22"/>
  <c r="D11" i="22"/>
  <c r="Z10" i="22"/>
  <c r="G10" i="22"/>
  <c r="F10" i="22"/>
  <c r="E10" i="22"/>
  <c r="D10" i="22"/>
  <c r="C10" i="22"/>
  <c r="Z9" i="22"/>
  <c r="G9" i="22"/>
  <c r="F9" i="22"/>
  <c r="C9" i="22" s="1"/>
  <c r="E9" i="22"/>
  <c r="D9" i="22"/>
  <c r="Z8" i="22"/>
  <c r="AA8" i="22" s="1"/>
  <c r="G8" i="22"/>
  <c r="F8" i="22"/>
  <c r="C8" i="22" s="1"/>
  <c r="E8" i="22"/>
  <c r="D8" i="22"/>
  <c r="Z329" i="21"/>
  <c r="AA329" i="21" s="1"/>
  <c r="Z328" i="21"/>
  <c r="AA328" i="21" s="1"/>
  <c r="Z327" i="21"/>
  <c r="AA327" i="21" s="1"/>
  <c r="Z325" i="21"/>
  <c r="AA325" i="21" s="1"/>
  <c r="G325" i="21"/>
  <c r="F325" i="21"/>
  <c r="C325" i="21" s="1"/>
  <c r="E325" i="21"/>
  <c r="D325" i="21"/>
  <c r="Z324" i="21"/>
  <c r="G324" i="21"/>
  <c r="F324" i="21"/>
  <c r="E324" i="21"/>
  <c r="D324" i="21"/>
  <c r="C324" i="21"/>
  <c r="Z323" i="21"/>
  <c r="G323" i="21"/>
  <c r="F323" i="21"/>
  <c r="C323" i="21" s="1"/>
  <c r="E323" i="21"/>
  <c r="D323" i="21"/>
  <c r="Z322" i="21"/>
  <c r="AA322" i="21" s="1"/>
  <c r="G322" i="21"/>
  <c r="F322" i="21"/>
  <c r="C322" i="21" s="1"/>
  <c r="E322" i="21"/>
  <c r="D322" i="21"/>
  <c r="Z321" i="21"/>
  <c r="G321" i="21"/>
  <c r="F321" i="21"/>
  <c r="C321" i="21" s="1"/>
  <c r="E321" i="21"/>
  <c r="D321" i="21"/>
  <c r="Z320" i="21"/>
  <c r="AA320" i="21" s="1"/>
  <c r="G320" i="21"/>
  <c r="F320" i="21"/>
  <c r="E320" i="21"/>
  <c r="D320" i="21"/>
  <c r="C320" i="21"/>
  <c r="Z319" i="21"/>
  <c r="AA319" i="21" s="1"/>
  <c r="G319" i="21"/>
  <c r="F319" i="21"/>
  <c r="C319" i="21" s="1"/>
  <c r="E319" i="21"/>
  <c r="D319" i="21"/>
  <c r="Z318" i="21"/>
  <c r="G318" i="21"/>
  <c r="F318" i="21"/>
  <c r="C318" i="21" s="1"/>
  <c r="E318" i="21"/>
  <c r="D318" i="21"/>
  <c r="Z317" i="21"/>
  <c r="AA317" i="21" s="1"/>
  <c r="G317" i="21"/>
  <c r="F317" i="21"/>
  <c r="C317" i="21" s="1"/>
  <c r="E317" i="21"/>
  <c r="D317" i="21"/>
  <c r="Z316" i="21"/>
  <c r="G316" i="21"/>
  <c r="F316" i="21"/>
  <c r="E316" i="21"/>
  <c r="D316" i="21"/>
  <c r="C316" i="21"/>
  <c r="Z315" i="21"/>
  <c r="G315" i="21"/>
  <c r="F315" i="21"/>
  <c r="C315" i="21" s="1"/>
  <c r="E315" i="21"/>
  <c r="D315" i="21"/>
  <c r="Z314" i="21"/>
  <c r="AA314" i="21" s="1"/>
  <c r="G314" i="21"/>
  <c r="F314" i="21"/>
  <c r="C314" i="21" s="1"/>
  <c r="E314" i="21"/>
  <c r="D314" i="21"/>
  <c r="Z313" i="21"/>
  <c r="G313" i="21"/>
  <c r="F313" i="21"/>
  <c r="C313" i="21" s="1"/>
  <c r="E313" i="21"/>
  <c r="D313" i="21"/>
  <c r="Z312" i="21"/>
  <c r="AA312" i="21" s="1"/>
  <c r="G312" i="21"/>
  <c r="F312" i="21"/>
  <c r="E312" i="21"/>
  <c r="D312" i="21"/>
  <c r="C312" i="21"/>
  <c r="Z311" i="21"/>
  <c r="AA311" i="21" s="1"/>
  <c r="G311" i="21"/>
  <c r="F311" i="21"/>
  <c r="C311" i="21" s="1"/>
  <c r="E311" i="21"/>
  <c r="D311" i="21"/>
  <c r="Z310" i="21"/>
  <c r="G310" i="21"/>
  <c r="F310" i="21"/>
  <c r="C310" i="21" s="1"/>
  <c r="E310" i="21"/>
  <c r="D310" i="21"/>
  <c r="Z309" i="21"/>
  <c r="AA309" i="21" s="1"/>
  <c r="G309" i="21"/>
  <c r="F309" i="21"/>
  <c r="C309" i="21" s="1"/>
  <c r="E309" i="21"/>
  <c r="D309" i="21"/>
  <c r="Z308" i="21"/>
  <c r="G308" i="21"/>
  <c r="F308" i="21"/>
  <c r="E308" i="21"/>
  <c r="D308" i="21"/>
  <c r="C308" i="21"/>
  <c r="Z307" i="21"/>
  <c r="G307" i="21"/>
  <c r="F307" i="21"/>
  <c r="C307" i="21" s="1"/>
  <c r="E307" i="21"/>
  <c r="D307" i="21"/>
  <c r="Z306" i="21"/>
  <c r="AA306" i="21" s="1"/>
  <c r="G306" i="21"/>
  <c r="F306" i="21"/>
  <c r="C306" i="21" s="1"/>
  <c r="E306" i="21"/>
  <c r="D306" i="21"/>
  <c r="Z305" i="21"/>
  <c r="G305" i="21"/>
  <c r="F305" i="21"/>
  <c r="C305" i="21" s="1"/>
  <c r="E305" i="21"/>
  <c r="D305" i="21"/>
  <c r="Z304" i="21"/>
  <c r="AA304" i="21" s="1"/>
  <c r="G304" i="21"/>
  <c r="F304" i="21"/>
  <c r="E304" i="21"/>
  <c r="D304" i="21"/>
  <c r="C304" i="21"/>
  <c r="Z303" i="21"/>
  <c r="AA303" i="21" s="1"/>
  <c r="G303" i="21"/>
  <c r="F303" i="21"/>
  <c r="C303" i="21" s="1"/>
  <c r="E303" i="21"/>
  <c r="D303" i="21"/>
  <c r="Z302" i="21"/>
  <c r="G302" i="21"/>
  <c r="F302" i="21"/>
  <c r="C302" i="21" s="1"/>
  <c r="E302" i="21"/>
  <c r="D302" i="21"/>
  <c r="Z301" i="21"/>
  <c r="AA301" i="21" s="1"/>
  <c r="G301" i="21"/>
  <c r="F301" i="21"/>
  <c r="C301" i="21" s="1"/>
  <c r="E301" i="21"/>
  <c r="D301" i="21"/>
  <c r="Z300" i="21"/>
  <c r="G300" i="21"/>
  <c r="F300" i="21"/>
  <c r="E300" i="21"/>
  <c r="D300" i="21"/>
  <c r="C300" i="21"/>
  <c r="Z299" i="21"/>
  <c r="G299" i="21"/>
  <c r="F299" i="21"/>
  <c r="C299" i="21" s="1"/>
  <c r="E299" i="21"/>
  <c r="D299" i="21"/>
  <c r="Z298" i="21"/>
  <c r="AA298" i="21" s="1"/>
  <c r="G298" i="21"/>
  <c r="F298" i="21"/>
  <c r="C298" i="21" s="1"/>
  <c r="E298" i="21"/>
  <c r="D298" i="21"/>
  <c r="Z297" i="21"/>
  <c r="G297" i="21"/>
  <c r="F297" i="21"/>
  <c r="C297" i="21" s="1"/>
  <c r="E297" i="21"/>
  <c r="D297" i="21"/>
  <c r="Z296" i="21"/>
  <c r="AA296" i="21" s="1"/>
  <c r="G296" i="21"/>
  <c r="F296" i="21"/>
  <c r="E296" i="21"/>
  <c r="D296" i="21"/>
  <c r="C296" i="21"/>
  <c r="Z295" i="21"/>
  <c r="AA295" i="21" s="1"/>
  <c r="G295" i="21"/>
  <c r="F295" i="21"/>
  <c r="C295" i="21" s="1"/>
  <c r="E295" i="21"/>
  <c r="D295" i="21"/>
  <c r="Z294" i="21"/>
  <c r="G294" i="21"/>
  <c r="F294" i="21"/>
  <c r="C294" i="21" s="1"/>
  <c r="E294" i="21"/>
  <c r="D294" i="21"/>
  <c r="Z293" i="21"/>
  <c r="AA293" i="21" s="1"/>
  <c r="G293" i="21"/>
  <c r="F293" i="21"/>
  <c r="C293" i="21" s="1"/>
  <c r="E293" i="21"/>
  <c r="D293" i="21"/>
  <c r="Z292" i="21"/>
  <c r="G292" i="21"/>
  <c r="F292" i="21"/>
  <c r="E292" i="21"/>
  <c r="D292" i="21"/>
  <c r="C292" i="21"/>
  <c r="Z291" i="21"/>
  <c r="G291" i="21"/>
  <c r="F291" i="21"/>
  <c r="C291" i="21" s="1"/>
  <c r="E291" i="21"/>
  <c r="D291" i="21"/>
  <c r="Z290" i="21"/>
  <c r="AA290" i="21" s="1"/>
  <c r="G290" i="21"/>
  <c r="F290" i="21"/>
  <c r="C290" i="21" s="1"/>
  <c r="E290" i="21"/>
  <c r="D290" i="21"/>
  <c r="Z289" i="21"/>
  <c r="G289" i="21"/>
  <c r="F289" i="21"/>
  <c r="C289" i="21" s="1"/>
  <c r="E289" i="21"/>
  <c r="D289" i="21"/>
  <c r="Z288" i="21"/>
  <c r="AA288" i="21" s="1"/>
  <c r="G288" i="21"/>
  <c r="F288" i="21"/>
  <c r="E288" i="21"/>
  <c r="D288" i="21"/>
  <c r="C288" i="21"/>
  <c r="Z287" i="21"/>
  <c r="AA287" i="21" s="1"/>
  <c r="G287" i="21"/>
  <c r="F287" i="21"/>
  <c r="C287" i="21" s="1"/>
  <c r="E287" i="21"/>
  <c r="D287" i="21"/>
  <c r="Z286" i="21"/>
  <c r="G286" i="21"/>
  <c r="F286" i="21"/>
  <c r="C286" i="21" s="1"/>
  <c r="E286" i="21"/>
  <c r="D286" i="21"/>
  <c r="Z285" i="21"/>
  <c r="AA285" i="21" s="1"/>
  <c r="G285" i="21"/>
  <c r="F285" i="21"/>
  <c r="C285" i="21" s="1"/>
  <c r="E285" i="21"/>
  <c r="D285" i="21"/>
  <c r="Z284" i="21"/>
  <c r="G284" i="21"/>
  <c r="F284" i="21"/>
  <c r="E284" i="21"/>
  <c r="D284" i="21"/>
  <c r="C284" i="21"/>
  <c r="Z283" i="21"/>
  <c r="G283" i="21"/>
  <c r="F283" i="21"/>
  <c r="C283" i="21" s="1"/>
  <c r="E283" i="21"/>
  <c r="D283" i="21"/>
  <c r="Z282" i="21"/>
  <c r="AA282" i="21" s="1"/>
  <c r="G282" i="21"/>
  <c r="F282" i="21"/>
  <c r="C282" i="21" s="1"/>
  <c r="E282" i="21"/>
  <c r="D282" i="21"/>
  <c r="Z281" i="21"/>
  <c r="G281" i="21"/>
  <c r="F281" i="21"/>
  <c r="C281" i="21" s="1"/>
  <c r="E281" i="21"/>
  <c r="D281" i="21"/>
  <c r="Z280" i="21"/>
  <c r="AA280" i="21" s="1"/>
  <c r="G280" i="21"/>
  <c r="F280" i="21"/>
  <c r="E280" i="21"/>
  <c r="D280" i="21"/>
  <c r="C280" i="21"/>
  <c r="Z279" i="21"/>
  <c r="AA279" i="21" s="1"/>
  <c r="G279" i="21"/>
  <c r="F279" i="21"/>
  <c r="C279" i="21" s="1"/>
  <c r="E279" i="21"/>
  <c r="D279" i="21"/>
  <c r="Z278" i="21"/>
  <c r="G278" i="21"/>
  <c r="F278" i="21"/>
  <c r="C278" i="21" s="1"/>
  <c r="E278" i="21"/>
  <c r="D278" i="21"/>
  <c r="Z277" i="21"/>
  <c r="AA277" i="21" s="1"/>
  <c r="G277" i="21"/>
  <c r="F277" i="21"/>
  <c r="C277" i="21" s="1"/>
  <c r="E277" i="21"/>
  <c r="D277" i="21"/>
  <c r="Z276" i="21"/>
  <c r="G276" i="21"/>
  <c r="F276" i="21"/>
  <c r="E276" i="21"/>
  <c r="D276" i="21"/>
  <c r="C276" i="21"/>
  <c r="Z275" i="21"/>
  <c r="G275" i="21"/>
  <c r="F275" i="21"/>
  <c r="C275" i="21" s="1"/>
  <c r="E275" i="21"/>
  <c r="D275" i="21"/>
  <c r="Z274" i="21"/>
  <c r="AA274" i="21" s="1"/>
  <c r="G274" i="21"/>
  <c r="F274" i="21"/>
  <c r="C274" i="21" s="1"/>
  <c r="E274" i="21"/>
  <c r="D274" i="21"/>
  <c r="Z273" i="21"/>
  <c r="G273" i="21"/>
  <c r="F273" i="21"/>
  <c r="C273" i="21" s="1"/>
  <c r="E273" i="21"/>
  <c r="D273" i="21"/>
  <c r="Z272" i="21"/>
  <c r="AA272" i="21" s="1"/>
  <c r="G272" i="21"/>
  <c r="F272" i="21"/>
  <c r="E272" i="21"/>
  <c r="D272" i="21"/>
  <c r="C272" i="21"/>
  <c r="Z271" i="21"/>
  <c r="AA271" i="21" s="1"/>
  <c r="G271" i="21"/>
  <c r="F271" i="21"/>
  <c r="C271" i="21" s="1"/>
  <c r="E271" i="21"/>
  <c r="D271" i="21"/>
  <c r="Z270" i="21"/>
  <c r="G270" i="21"/>
  <c r="F270" i="21"/>
  <c r="C270" i="21" s="1"/>
  <c r="E270" i="21"/>
  <c r="D270" i="21"/>
  <c r="Z269" i="21"/>
  <c r="AA269" i="21" s="1"/>
  <c r="G269" i="21"/>
  <c r="F269" i="21"/>
  <c r="C269" i="21" s="1"/>
  <c r="E269" i="21"/>
  <c r="D269" i="21"/>
  <c r="Z268" i="21"/>
  <c r="G268" i="21"/>
  <c r="F268" i="21"/>
  <c r="E268" i="21"/>
  <c r="D268" i="21"/>
  <c r="C268" i="21"/>
  <c r="Z267" i="21"/>
  <c r="G267" i="21"/>
  <c r="F267" i="21"/>
  <c r="C267" i="21" s="1"/>
  <c r="E267" i="21"/>
  <c r="D267" i="21"/>
  <c r="Z266" i="21"/>
  <c r="AA266" i="21" s="1"/>
  <c r="G266" i="21"/>
  <c r="F266" i="21"/>
  <c r="C266" i="21" s="1"/>
  <c r="E266" i="21"/>
  <c r="D266" i="21"/>
  <c r="Z265" i="21"/>
  <c r="G265" i="21"/>
  <c r="F265" i="21"/>
  <c r="C265" i="21" s="1"/>
  <c r="E265" i="21"/>
  <c r="D265" i="21"/>
  <c r="Z264" i="21"/>
  <c r="AA264" i="21" s="1"/>
  <c r="G264" i="21"/>
  <c r="F264" i="21"/>
  <c r="E264" i="21"/>
  <c r="D264" i="21"/>
  <c r="C264" i="21"/>
  <c r="Z263" i="21"/>
  <c r="AA263" i="21" s="1"/>
  <c r="G263" i="21"/>
  <c r="F263" i="21"/>
  <c r="C263" i="21" s="1"/>
  <c r="E263" i="21"/>
  <c r="D263" i="21"/>
  <c r="Z262" i="21"/>
  <c r="G262" i="21"/>
  <c r="F262" i="21"/>
  <c r="C262" i="21" s="1"/>
  <c r="E262" i="21"/>
  <c r="D262" i="21"/>
  <c r="Z261" i="21"/>
  <c r="AA261" i="21" s="1"/>
  <c r="G261" i="21"/>
  <c r="F261" i="21"/>
  <c r="C261" i="21" s="1"/>
  <c r="E261" i="21"/>
  <c r="D261" i="21"/>
  <c r="Z260" i="21"/>
  <c r="G260" i="21"/>
  <c r="F260" i="21"/>
  <c r="E260" i="21"/>
  <c r="D260" i="21"/>
  <c r="C260" i="21"/>
  <c r="Z259" i="21"/>
  <c r="G259" i="21"/>
  <c r="F259" i="21"/>
  <c r="C259" i="21" s="1"/>
  <c r="E259" i="21"/>
  <c r="D259" i="21"/>
  <c r="Z258" i="21"/>
  <c r="AA258" i="21" s="1"/>
  <c r="G258" i="21"/>
  <c r="F258" i="21"/>
  <c r="C258" i="21" s="1"/>
  <c r="E258" i="21"/>
  <c r="D258" i="21"/>
  <c r="Z257" i="21"/>
  <c r="G257" i="21"/>
  <c r="F257" i="21"/>
  <c r="C257" i="21" s="1"/>
  <c r="E257" i="21"/>
  <c r="D257" i="21"/>
  <c r="Z256" i="21"/>
  <c r="AA256" i="21" s="1"/>
  <c r="G256" i="21"/>
  <c r="F256" i="21"/>
  <c r="E256" i="21"/>
  <c r="D256" i="21"/>
  <c r="C256" i="21"/>
  <c r="Z255" i="21"/>
  <c r="AA255" i="21" s="1"/>
  <c r="G255" i="21"/>
  <c r="F255" i="21"/>
  <c r="C255" i="21" s="1"/>
  <c r="E255" i="21"/>
  <c r="D255" i="21"/>
  <c r="Z254" i="21"/>
  <c r="G254" i="21"/>
  <c r="F254" i="21"/>
  <c r="C254" i="21" s="1"/>
  <c r="E254" i="21"/>
  <c r="D254" i="21"/>
  <c r="Z253" i="21"/>
  <c r="AA253" i="21" s="1"/>
  <c r="G253" i="21"/>
  <c r="F253" i="21"/>
  <c r="C253" i="21" s="1"/>
  <c r="E253" i="21"/>
  <c r="D253" i="21"/>
  <c r="Z252" i="21"/>
  <c r="G252" i="21"/>
  <c r="F252" i="21"/>
  <c r="E252" i="21"/>
  <c r="D252" i="21"/>
  <c r="C252" i="21"/>
  <c r="Z251" i="21"/>
  <c r="G251" i="21"/>
  <c r="F251" i="21"/>
  <c r="C251" i="21" s="1"/>
  <c r="E251" i="21"/>
  <c r="D251" i="21"/>
  <c r="Z250" i="21"/>
  <c r="AA250" i="21" s="1"/>
  <c r="G250" i="21"/>
  <c r="F250" i="21"/>
  <c r="C250" i="21" s="1"/>
  <c r="E250" i="21"/>
  <c r="D250" i="21"/>
  <c r="Z249" i="21"/>
  <c r="G249" i="21"/>
  <c r="F249" i="21"/>
  <c r="C249" i="21" s="1"/>
  <c r="E249" i="21"/>
  <c r="D249" i="21"/>
  <c r="Z248" i="21"/>
  <c r="AA248" i="21" s="1"/>
  <c r="G248" i="21"/>
  <c r="F248" i="21"/>
  <c r="E248" i="21"/>
  <c r="D248" i="21"/>
  <c r="C248" i="21"/>
  <c r="Z247" i="21"/>
  <c r="AA247" i="21" s="1"/>
  <c r="G247" i="21"/>
  <c r="F247" i="21"/>
  <c r="C247" i="21" s="1"/>
  <c r="E247" i="21"/>
  <c r="D247" i="21"/>
  <c r="Z246" i="21"/>
  <c r="G246" i="21"/>
  <c r="F246" i="21"/>
  <c r="C246" i="21" s="1"/>
  <c r="E246" i="21"/>
  <c r="D246" i="21"/>
  <c r="Z245" i="21"/>
  <c r="AA245" i="21" s="1"/>
  <c r="G245" i="21"/>
  <c r="F245" i="21"/>
  <c r="C245" i="21" s="1"/>
  <c r="E245" i="21"/>
  <c r="D245" i="21"/>
  <c r="Z244" i="21"/>
  <c r="G244" i="21"/>
  <c r="F244" i="21"/>
  <c r="E244" i="21"/>
  <c r="D244" i="21"/>
  <c r="C244" i="21"/>
  <c r="Z243" i="21"/>
  <c r="G243" i="21"/>
  <c r="F243" i="21"/>
  <c r="C243" i="21" s="1"/>
  <c r="E243" i="21"/>
  <c r="D243" i="21"/>
  <c r="Z242" i="21"/>
  <c r="AA242" i="21" s="1"/>
  <c r="G242" i="21"/>
  <c r="F242" i="21"/>
  <c r="C242" i="21" s="1"/>
  <c r="E242" i="21"/>
  <c r="D242" i="21"/>
  <c r="Z241" i="21"/>
  <c r="G241" i="21"/>
  <c r="F241" i="21"/>
  <c r="C241" i="21" s="1"/>
  <c r="E241" i="21"/>
  <c r="D241" i="21"/>
  <c r="Z240" i="21"/>
  <c r="AA240" i="21" s="1"/>
  <c r="G240" i="21"/>
  <c r="F240" i="21"/>
  <c r="E240" i="21"/>
  <c r="D240" i="21"/>
  <c r="C240" i="21"/>
  <c r="Z239" i="21"/>
  <c r="G239" i="21"/>
  <c r="F239" i="21"/>
  <c r="E239" i="21"/>
  <c r="D239" i="21"/>
  <c r="C239" i="21"/>
  <c r="Z238" i="21"/>
  <c r="G238" i="21"/>
  <c r="AA238" i="21" s="1"/>
  <c r="F238" i="21"/>
  <c r="C238" i="21" s="1"/>
  <c r="E238" i="21"/>
  <c r="D238" i="21"/>
  <c r="Z237" i="21"/>
  <c r="AA237" i="21" s="1"/>
  <c r="G237" i="21"/>
  <c r="F237" i="21"/>
  <c r="C237" i="21" s="1"/>
  <c r="E237" i="21"/>
  <c r="D237" i="21"/>
  <c r="Z236" i="21"/>
  <c r="G236" i="21"/>
  <c r="F236" i="21"/>
  <c r="E236" i="21"/>
  <c r="D236" i="21"/>
  <c r="C236" i="21"/>
  <c r="Z235" i="21"/>
  <c r="G235" i="21"/>
  <c r="F235" i="21"/>
  <c r="E235" i="21"/>
  <c r="D235" i="21"/>
  <c r="C235" i="21"/>
  <c r="Z234" i="21"/>
  <c r="G234" i="21"/>
  <c r="F234" i="21"/>
  <c r="C234" i="21" s="1"/>
  <c r="E234" i="21"/>
  <c r="D234" i="21"/>
  <c r="Z233" i="21"/>
  <c r="AA233" i="21" s="1"/>
  <c r="G233" i="21"/>
  <c r="F233" i="21"/>
  <c r="C233" i="21" s="1"/>
  <c r="E233" i="21"/>
  <c r="D233" i="21"/>
  <c r="Z232" i="21"/>
  <c r="G232" i="21"/>
  <c r="F232" i="21"/>
  <c r="E232" i="21"/>
  <c r="D232" i="21"/>
  <c r="C232" i="21"/>
  <c r="Z231" i="21"/>
  <c r="G231" i="21"/>
  <c r="F231" i="21"/>
  <c r="C231" i="21" s="1"/>
  <c r="E231" i="21"/>
  <c r="D231" i="21"/>
  <c r="Z230" i="21"/>
  <c r="G230" i="21"/>
  <c r="AA230" i="21" s="1"/>
  <c r="F230" i="21"/>
  <c r="E230" i="21"/>
  <c r="D230" i="21"/>
  <c r="C230" i="21"/>
  <c r="Z229" i="21"/>
  <c r="G229" i="21"/>
  <c r="F229" i="21"/>
  <c r="C229" i="21" s="1"/>
  <c r="E229" i="21"/>
  <c r="D229" i="21"/>
  <c r="Z228" i="21"/>
  <c r="G228" i="21"/>
  <c r="AA228" i="21" s="1"/>
  <c r="F228" i="21"/>
  <c r="E228" i="21"/>
  <c r="D228" i="21"/>
  <c r="C228" i="21"/>
  <c r="Z227" i="21"/>
  <c r="G227" i="21"/>
  <c r="F227" i="21"/>
  <c r="E227" i="21"/>
  <c r="D227" i="21"/>
  <c r="C227" i="21"/>
  <c r="Z226" i="21"/>
  <c r="G226" i="21"/>
  <c r="F226" i="21"/>
  <c r="C226" i="21" s="1"/>
  <c r="E226" i="21"/>
  <c r="D226" i="21"/>
  <c r="Z225" i="21"/>
  <c r="AA225" i="21" s="1"/>
  <c r="G225" i="21"/>
  <c r="F225" i="21"/>
  <c r="C225" i="21" s="1"/>
  <c r="E225" i="21"/>
  <c r="D225" i="21"/>
  <c r="Z224" i="21"/>
  <c r="G224" i="21"/>
  <c r="F224" i="21"/>
  <c r="E224" i="21"/>
  <c r="D224" i="21"/>
  <c r="C224" i="21"/>
  <c r="Z223" i="21"/>
  <c r="G223" i="21"/>
  <c r="F223" i="21"/>
  <c r="C223" i="21" s="1"/>
  <c r="E223" i="21"/>
  <c r="D223" i="21"/>
  <c r="Z222" i="21"/>
  <c r="G222" i="21"/>
  <c r="F222" i="21"/>
  <c r="E222" i="21"/>
  <c r="D222" i="21"/>
  <c r="C222" i="21"/>
  <c r="Z221" i="21"/>
  <c r="AA221" i="21" s="1"/>
  <c r="G221" i="21"/>
  <c r="F221" i="21"/>
  <c r="C221" i="21" s="1"/>
  <c r="E221" i="21"/>
  <c r="D221" i="21"/>
  <c r="Z220" i="21"/>
  <c r="G220" i="21"/>
  <c r="F220" i="21"/>
  <c r="E220" i="21"/>
  <c r="D220" i="21"/>
  <c r="C220" i="21"/>
  <c r="Z219" i="21"/>
  <c r="G219" i="21"/>
  <c r="F219" i="21"/>
  <c r="E219" i="21"/>
  <c r="D219" i="21"/>
  <c r="C219" i="21"/>
  <c r="Z218" i="21"/>
  <c r="AA218" i="21" s="1"/>
  <c r="G218" i="21"/>
  <c r="F218" i="21"/>
  <c r="C218" i="21" s="1"/>
  <c r="E218" i="21"/>
  <c r="D218" i="21"/>
  <c r="Z217" i="21"/>
  <c r="AA217" i="21" s="1"/>
  <c r="G217" i="21"/>
  <c r="F217" i="21"/>
  <c r="C217" i="21" s="1"/>
  <c r="E217" i="21"/>
  <c r="D217" i="21"/>
  <c r="Z216" i="21"/>
  <c r="G216" i="21"/>
  <c r="F216" i="21"/>
  <c r="E216" i="21"/>
  <c r="D216" i="21"/>
  <c r="C216" i="21"/>
  <c r="Z215" i="21"/>
  <c r="G215" i="21"/>
  <c r="F215" i="21"/>
  <c r="C215" i="21" s="1"/>
  <c r="E215" i="21"/>
  <c r="D215" i="21"/>
  <c r="Z214" i="21"/>
  <c r="G214" i="21"/>
  <c r="F214" i="21"/>
  <c r="E214" i="21"/>
  <c r="D214" i="21"/>
  <c r="C214" i="21"/>
  <c r="Z213" i="21"/>
  <c r="AA213" i="21" s="1"/>
  <c r="G213" i="21"/>
  <c r="F213" i="21"/>
  <c r="C213" i="21" s="1"/>
  <c r="E213" i="21"/>
  <c r="D213" i="21"/>
  <c r="Z212" i="21"/>
  <c r="AA212" i="21" s="1"/>
  <c r="G212" i="21"/>
  <c r="F212" i="21"/>
  <c r="E212" i="21"/>
  <c r="D212" i="21"/>
  <c r="C212" i="21"/>
  <c r="Z211" i="21"/>
  <c r="G211" i="21"/>
  <c r="F211" i="21"/>
  <c r="E211" i="21"/>
  <c r="D211" i="21"/>
  <c r="C211" i="21"/>
  <c r="Z210" i="21"/>
  <c r="AA210" i="21" s="1"/>
  <c r="G210" i="21"/>
  <c r="F210" i="21"/>
  <c r="C210" i="21" s="1"/>
  <c r="E210" i="21"/>
  <c r="D210" i="21"/>
  <c r="Z209" i="21"/>
  <c r="G209" i="21"/>
  <c r="F209" i="21"/>
  <c r="C209" i="21" s="1"/>
  <c r="E209" i="21"/>
  <c r="D209" i="21"/>
  <c r="Z208" i="21"/>
  <c r="AA208" i="21" s="1"/>
  <c r="G208" i="21"/>
  <c r="F208" i="21"/>
  <c r="E208" i="21"/>
  <c r="D208" i="21"/>
  <c r="C208" i="21"/>
  <c r="Z207" i="21"/>
  <c r="AA207" i="21" s="1"/>
  <c r="G207" i="21"/>
  <c r="F207" i="21"/>
  <c r="C207" i="21" s="1"/>
  <c r="E207" i="21"/>
  <c r="D207" i="21"/>
  <c r="Z206" i="21"/>
  <c r="G206" i="21"/>
  <c r="F206" i="21"/>
  <c r="E206" i="21"/>
  <c r="D206" i="21"/>
  <c r="C206" i="21"/>
  <c r="Z205" i="21"/>
  <c r="G205" i="21"/>
  <c r="F205" i="21"/>
  <c r="C205" i="21" s="1"/>
  <c r="E205" i="21"/>
  <c r="D205" i="21"/>
  <c r="Z204" i="21"/>
  <c r="AA204" i="21" s="1"/>
  <c r="G204" i="21"/>
  <c r="F204" i="21"/>
  <c r="C204" i="21" s="1"/>
  <c r="E204" i="21"/>
  <c r="D204" i="21"/>
  <c r="Z203" i="21"/>
  <c r="G203" i="21"/>
  <c r="F203" i="21"/>
  <c r="E203" i="21"/>
  <c r="D203" i="21"/>
  <c r="C203" i="21"/>
  <c r="Z202" i="21"/>
  <c r="G202" i="21"/>
  <c r="F202" i="21"/>
  <c r="E202" i="21"/>
  <c r="D202" i="21"/>
  <c r="C202" i="21"/>
  <c r="Z201" i="21"/>
  <c r="G201" i="21"/>
  <c r="F201" i="21"/>
  <c r="C201" i="21" s="1"/>
  <c r="E201" i="21"/>
  <c r="D201" i="21"/>
  <c r="Z200" i="21"/>
  <c r="AA200" i="21" s="1"/>
  <c r="G200" i="21"/>
  <c r="F200" i="21"/>
  <c r="C200" i="21" s="1"/>
  <c r="E200" i="21"/>
  <c r="D200" i="21"/>
  <c r="Z199" i="21"/>
  <c r="G199" i="21"/>
  <c r="F199" i="21"/>
  <c r="E199" i="21"/>
  <c r="D199" i="21"/>
  <c r="C199" i="21"/>
  <c r="Z198" i="21"/>
  <c r="G198" i="21"/>
  <c r="F198" i="21"/>
  <c r="E198" i="21"/>
  <c r="D198" i="21"/>
  <c r="C198" i="21"/>
  <c r="Z197" i="21"/>
  <c r="G197" i="21"/>
  <c r="F197" i="21"/>
  <c r="C197" i="21" s="1"/>
  <c r="E197" i="21"/>
  <c r="D197" i="21"/>
  <c r="Z196" i="21"/>
  <c r="AA196" i="21" s="1"/>
  <c r="G196" i="21"/>
  <c r="F196" i="21"/>
  <c r="C196" i="21" s="1"/>
  <c r="E196" i="21"/>
  <c r="D196" i="21"/>
  <c r="Z195" i="21"/>
  <c r="G195" i="21"/>
  <c r="F195" i="21"/>
  <c r="E195" i="21"/>
  <c r="D195" i="21"/>
  <c r="C195" i="21"/>
  <c r="Z194" i="21"/>
  <c r="G194" i="21"/>
  <c r="F194" i="21"/>
  <c r="E194" i="21"/>
  <c r="D194" i="21"/>
  <c r="C194" i="21"/>
  <c r="Z193" i="21"/>
  <c r="G193" i="21"/>
  <c r="F193" i="21"/>
  <c r="C193" i="21" s="1"/>
  <c r="E193" i="21"/>
  <c r="D193" i="21"/>
  <c r="Z192" i="21"/>
  <c r="AA192" i="21" s="1"/>
  <c r="G192" i="21"/>
  <c r="F192" i="21"/>
  <c r="C192" i="21" s="1"/>
  <c r="E192" i="21"/>
  <c r="D192" i="21"/>
  <c r="Z191" i="21"/>
  <c r="G191" i="21"/>
  <c r="F191" i="21"/>
  <c r="E191" i="21"/>
  <c r="D191" i="21"/>
  <c r="C191" i="21"/>
  <c r="Z190" i="21"/>
  <c r="G190" i="21"/>
  <c r="F190" i="21"/>
  <c r="E190" i="21"/>
  <c r="D190" i="21"/>
  <c r="C190" i="21"/>
  <c r="Z189" i="21"/>
  <c r="G189" i="21"/>
  <c r="F189" i="21"/>
  <c r="C189" i="21" s="1"/>
  <c r="E189" i="21"/>
  <c r="D189" i="21"/>
  <c r="Z188" i="21"/>
  <c r="AA188" i="21" s="1"/>
  <c r="G188" i="21"/>
  <c r="F188" i="21"/>
  <c r="C188" i="21" s="1"/>
  <c r="E188" i="21"/>
  <c r="D188" i="21"/>
  <c r="Z187" i="21"/>
  <c r="G187" i="21"/>
  <c r="F187" i="21"/>
  <c r="E187" i="21"/>
  <c r="D187" i="21"/>
  <c r="C187" i="21"/>
  <c r="Z186" i="21"/>
  <c r="G186" i="21"/>
  <c r="F186" i="21"/>
  <c r="E186" i="21"/>
  <c r="D186" i="21"/>
  <c r="C186" i="21"/>
  <c r="Z185" i="21"/>
  <c r="G185" i="21"/>
  <c r="F185" i="21"/>
  <c r="C185" i="21" s="1"/>
  <c r="E185" i="21"/>
  <c r="D185" i="21"/>
  <c r="Z184" i="21"/>
  <c r="AA184" i="21" s="1"/>
  <c r="G184" i="21"/>
  <c r="F184" i="21"/>
  <c r="C184" i="21" s="1"/>
  <c r="E184" i="21"/>
  <c r="D184" i="21"/>
  <c r="Z183" i="21"/>
  <c r="G183" i="21"/>
  <c r="F183" i="21"/>
  <c r="E183" i="21"/>
  <c r="D183" i="21"/>
  <c r="C183" i="21"/>
  <c r="Z182" i="21"/>
  <c r="G182" i="21"/>
  <c r="F182" i="21"/>
  <c r="E182" i="21"/>
  <c r="D182" i="21"/>
  <c r="C182" i="21"/>
  <c r="Z181" i="21"/>
  <c r="G181" i="21"/>
  <c r="F181" i="21"/>
  <c r="C181" i="21" s="1"/>
  <c r="E181" i="21"/>
  <c r="D181" i="21"/>
  <c r="Z180" i="21"/>
  <c r="AA180" i="21" s="1"/>
  <c r="G180" i="21"/>
  <c r="F180" i="21"/>
  <c r="C180" i="21" s="1"/>
  <c r="E180" i="21"/>
  <c r="D180" i="21"/>
  <c r="Z179" i="21"/>
  <c r="G179" i="21"/>
  <c r="F179" i="21"/>
  <c r="E179" i="21"/>
  <c r="D179" i="21"/>
  <c r="C179" i="21"/>
  <c r="Z178" i="21"/>
  <c r="G178" i="21"/>
  <c r="F178" i="21"/>
  <c r="E178" i="21"/>
  <c r="D178" i="21"/>
  <c r="C178" i="21"/>
  <c r="Z177" i="21"/>
  <c r="G177" i="21"/>
  <c r="F177" i="21"/>
  <c r="C177" i="21" s="1"/>
  <c r="E177" i="21"/>
  <c r="D177" i="21"/>
  <c r="Z176" i="21"/>
  <c r="AA176" i="21" s="1"/>
  <c r="G176" i="21"/>
  <c r="F176" i="21"/>
  <c r="C176" i="21" s="1"/>
  <c r="E176" i="21"/>
  <c r="D176" i="21"/>
  <c r="Z175" i="21"/>
  <c r="G175" i="21"/>
  <c r="F175" i="21"/>
  <c r="E175" i="21"/>
  <c r="D175" i="21"/>
  <c r="C175" i="21"/>
  <c r="Z174" i="21"/>
  <c r="G174" i="21"/>
  <c r="F174" i="21"/>
  <c r="E174" i="21"/>
  <c r="D174" i="21"/>
  <c r="C174" i="21"/>
  <c r="Z173" i="21"/>
  <c r="G173" i="21"/>
  <c r="F173" i="21"/>
  <c r="C173" i="21" s="1"/>
  <c r="E173" i="21"/>
  <c r="D173" i="21"/>
  <c r="Z172" i="21"/>
  <c r="AA172" i="21" s="1"/>
  <c r="G172" i="21"/>
  <c r="F172" i="21"/>
  <c r="C172" i="21" s="1"/>
  <c r="E172" i="21"/>
  <c r="D172" i="21"/>
  <c r="Z171" i="21"/>
  <c r="G171" i="21"/>
  <c r="F171" i="21"/>
  <c r="E171" i="21"/>
  <c r="D171" i="21"/>
  <c r="C171" i="21"/>
  <c r="Z170" i="21"/>
  <c r="G170" i="21"/>
  <c r="F170" i="21"/>
  <c r="E170" i="21"/>
  <c r="D170" i="21"/>
  <c r="C170" i="21"/>
  <c r="Z169" i="21"/>
  <c r="AA169" i="21" s="1"/>
  <c r="G169" i="21"/>
  <c r="F169" i="21"/>
  <c r="C169" i="21" s="1"/>
  <c r="E169" i="21"/>
  <c r="D169" i="21"/>
  <c r="Z168" i="21"/>
  <c r="G168" i="21"/>
  <c r="F168" i="21"/>
  <c r="C168" i="21" s="1"/>
  <c r="E168" i="21"/>
  <c r="D168" i="21"/>
  <c r="Z167" i="21"/>
  <c r="G167" i="21"/>
  <c r="F167" i="21"/>
  <c r="E167" i="21"/>
  <c r="D167" i="21"/>
  <c r="C167" i="21"/>
  <c r="Z166" i="21"/>
  <c r="G166" i="21"/>
  <c r="F166" i="21"/>
  <c r="E166" i="21"/>
  <c r="D166" i="21"/>
  <c r="C166" i="21"/>
  <c r="Z165" i="21"/>
  <c r="AA165" i="21" s="1"/>
  <c r="G165" i="21"/>
  <c r="F165" i="21"/>
  <c r="C165" i="21" s="1"/>
  <c r="E165" i="21"/>
  <c r="D165" i="21"/>
  <c r="Z164" i="21"/>
  <c r="G164" i="21"/>
  <c r="F164" i="21"/>
  <c r="C164" i="21" s="1"/>
  <c r="E164" i="21"/>
  <c r="D164" i="21"/>
  <c r="Z163" i="21"/>
  <c r="G163" i="21"/>
  <c r="F163" i="21"/>
  <c r="E163" i="21"/>
  <c r="D163" i="21"/>
  <c r="C163" i="21"/>
  <c r="Z162" i="21"/>
  <c r="G162" i="21"/>
  <c r="F162" i="21"/>
  <c r="E162" i="21"/>
  <c r="D162" i="21"/>
  <c r="C162" i="21"/>
  <c r="AA161" i="21"/>
  <c r="Z161" i="21"/>
  <c r="G161" i="21"/>
  <c r="F161" i="21"/>
  <c r="C161" i="21" s="1"/>
  <c r="E161" i="21"/>
  <c r="D161" i="21"/>
  <c r="Z160" i="21"/>
  <c r="AA160" i="21" s="1"/>
  <c r="G160" i="21"/>
  <c r="F160" i="21"/>
  <c r="C160" i="21" s="1"/>
  <c r="E160" i="21"/>
  <c r="D160" i="21"/>
  <c r="Z159" i="21"/>
  <c r="G159" i="21"/>
  <c r="F159" i="21"/>
  <c r="E159" i="21"/>
  <c r="D159" i="21"/>
  <c r="C159" i="21"/>
  <c r="Z158" i="21"/>
  <c r="G158" i="21"/>
  <c r="F158" i="21"/>
  <c r="E158" i="21"/>
  <c r="D158" i="21"/>
  <c r="C158" i="21"/>
  <c r="Z157" i="21"/>
  <c r="G157" i="21"/>
  <c r="F157" i="21"/>
  <c r="C157" i="21" s="1"/>
  <c r="E157" i="21"/>
  <c r="D157" i="21"/>
  <c r="Z156" i="21"/>
  <c r="AA156" i="21" s="1"/>
  <c r="G156" i="21"/>
  <c r="F156" i="21"/>
  <c r="C156" i="21" s="1"/>
  <c r="E156" i="21"/>
  <c r="D156" i="21"/>
  <c r="Z155" i="21"/>
  <c r="G155" i="21"/>
  <c r="F155" i="21"/>
  <c r="E155" i="21"/>
  <c r="D155" i="21"/>
  <c r="C155" i="21"/>
  <c r="Z154" i="21"/>
  <c r="G154" i="21"/>
  <c r="F154" i="21"/>
  <c r="E154" i="21"/>
  <c r="D154" i="21"/>
  <c r="C154" i="21"/>
  <c r="Z153" i="21"/>
  <c r="AA153" i="21" s="1"/>
  <c r="G153" i="21"/>
  <c r="F153" i="21"/>
  <c r="C153" i="21" s="1"/>
  <c r="E153" i="21"/>
  <c r="D153" i="21"/>
  <c r="Z152" i="21"/>
  <c r="G152" i="21"/>
  <c r="F152" i="21"/>
  <c r="C152" i="21" s="1"/>
  <c r="E152" i="21"/>
  <c r="D152" i="21"/>
  <c r="Z151" i="21"/>
  <c r="G151" i="21"/>
  <c r="F151" i="21"/>
  <c r="E151" i="21"/>
  <c r="D151" i="21"/>
  <c r="C151" i="21"/>
  <c r="Z150" i="21"/>
  <c r="G150" i="21"/>
  <c r="F150" i="21"/>
  <c r="E150" i="21"/>
  <c r="D150" i="21"/>
  <c r="C150" i="21"/>
  <c r="Z149" i="21"/>
  <c r="AA149" i="21" s="1"/>
  <c r="G149" i="21"/>
  <c r="F149" i="21"/>
  <c r="C149" i="21" s="1"/>
  <c r="E149" i="21"/>
  <c r="D149" i="21"/>
  <c r="Z148" i="21"/>
  <c r="G148" i="21"/>
  <c r="F148" i="21"/>
  <c r="C148" i="21" s="1"/>
  <c r="E148" i="21"/>
  <c r="D148" i="21"/>
  <c r="Z147" i="21"/>
  <c r="G147" i="21"/>
  <c r="F147" i="21"/>
  <c r="E147" i="21"/>
  <c r="D147" i="21"/>
  <c r="C147" i="21"/>
  <c r="Z146" i="21"/>
  <c r="G146" i="21"/>
  <c r="F146" i="21"/>
  <c r="E146" i="21"/>
  <c r="D146" i="21"/>
  <c r="C146" i="21"/>
  <c r="Z145" i="21"/>
  <c r="G145" i="21"/>
  <c r="AA145" i="21" s="1"/>
  <c r="F145" i="21"/>
  <c r="C145" i="21" s="1"/>
  <c r="E145" i="21"/>
  <c r="D145" i="21"/>
  <c r="Z144" i="21"/>
  <c r="AA144" i="21" s="1"/>
  <c r="G144" i="21"/>
  <c r="F144" i="21"/>
  <c r="C144" i="21" s="1"/>
  <c r="E144" i="21"/>
  <c r="D144" i="21"/>
  <c r="Z143" i="21"/>
  <c r="G143" i="21"/>
  <c r="F143" i="21"/>
  <c r="E143" i="21"/>
  <c r="D143" i="21"/>
  <c r="C143" i="21"/>
  <c r="Z142" i="21"/>
  <c r="G142" i="21"/>
  <c r="F142" i="21"/>
  <c r="E142" i="21"/>
  <c r="D142" i="21"/>
  <c r="C142" i="21"/>
  <c r="Z141" i="21"/>
  <c r="G141" i="21"/>
  <c r="F141" i="21"/>
  <c r="C141" i="21" s="1"/>
  <c r="E141" i="21"/>
  <c r="D141" i="21"/>
  <c r="Z140" i="21"/>
  <c r="AA140" i="21" s="1"/>
  <c r="G140" i="21"/>
  <c r="F140" i="21"/>
  <c r="C140" i="21" s="1"/>
  <c r="E140" i="21"/>
  <c r="D140" i="21"/>
  <c r="Z139" i="21"/>
  <c r="G139" i="21"/>
  <c r="F139" i="21"/>
  <c r="E139" i="21"/>
  <c r="D139" i="21"/>
  <c r="C139" i="21"/>
  <c r="Z138" i="21"/>
  <c r="G138" i="21"/>
  <c r="F138" i="21"/>
  <c r="E138" i="21"/>
  <c r="D138" i="21"/>
  <c r="C138" i="21"/>
  <c r="Z137" i="21"/>
  <c r="AA137" i="21" s="1"/>
  <c r="G137" i="21"/>
  <c r="F137" i="21"/>
  <c r="C137" i="21" s="1"/>
  <c r="E137" i="21"/>
  <c r="D137" i="21"/>
  <c r="Z136" i="21"/>
  <c r="G136" i="21"/>
  <c r="F136" i="21"/>
  <c r="C136" i="21" s="1"/>
  <c r="E136" i="21"/>
  <c r="D136" i="21"/>
  <c r="Z135" i="21"/>
  <c r="G135" i="21"/>
  <c r="F135" i="21"/>
  <c r="E135" i="21"/>
  <c r="D135" i="21"/>
  <c r="C135" i="21"/>
  <c r="Z134" i="21"/>
  <c r="G134" i="21"/>
  <c r="F134" i="21"/>
  <c r="E134" i="21"/>
  <c r="D134" i="21"/>
  <c r="C134" i="21"/>
  <c r="Z133" i="21"/>
  <c r="AA133" i="21" s="1"/>
  <c r="G133" i="21"/>
  <c r="F133" i="21"/>
  <c r="C133" i="21" s="1"/>
  <c r="E133" i="21"/>
  <c r="D133" i="21"/>
  <c r="Z132" i="21"/>
  <c r="G132" i="21"/>
  <c r="F132" i="21"/>
  <c r="C132" i="21" s="1"/>
  <c r="E132" i="21"/>
  <c r="D132" i="21"/>
  <c r="Z131" i="21"/>
  <c r="G131" i="21"/>
  <c r="F131" i="21"/>
  <c r="E131" i="21"/>
  <c r="D131" i="21"/>
  <c r="C131" i="21"/>
  <c r="Z130" i="21"/>
  <c r="G130" i="21"/>
  <c r="F130" i="21"/>
  <c r="E130" i="21"/>
  <c r="D130" i="21"/>
  <c r="C130" i="21"/>
  <c r="AA129" i="21"/>
  <c r="Z129" i="21"/>
  <c r="G129" i="21"/>
  <c r="F129" i="21"/>
  <c r="C129" i="21" s="1"/>
  <c r="E129" i="21"/>
  <c r="D129" i="21"/>
  <c r="Z128" i="21"/>
  <c r="AA128" i="21" s="1"/>
  <c r="G128" i="21"/>
  <c r="F128" i="21"/>
  <c r="C128" i="21" s="1"/>
  <c r="E128" i="21"/>
  <c r="D128" i="21"/>
  <c r="Z127" i="21"/>
  <c r="G127" i="21"/>
  <c r="F127" i="21"/>
  <c r="E127" i="21"/>
  <c r="D127" i="21"/>
  <c r="C127" i="21"/>
  <c r="Z126" i="21"/>
  <c r="G126" i="21"/>
  <c r="F126" i="21"/>
  <c r="E126" i="21"/>
  <c r="D126" i="21"/>
  <c r="C126" i="21"/>
  <c r="Z125" i="21"/>
  <c r="G125" i="21"/>
  <c r="F125" i="21"/>
  <c r="C125" i="21" s="1"/>
  <c r="E125" i="21"/>
  <c r="D125" i="21"/>
  <c r="Z124" i="21"/>
  <c r="AA124" i="21" s="1"/>
  <c r="G124" i="21"/>
  <c r="F124" i="21"/>
  <c r="C124" i="21" s="1"/>
  <c r="E124" i="21"/>
  <c r="D124" i="21"/>
  <c r="Z123" i="21"/>
  <c r="G123" i="21"/>
  <c r="F123" i="21"/>
  <c r="E123" i="21"/>
  <c r="D123" i="21"/>
  <c r="C123" i="21"/>
  <c r="Z122" i="21"/>
  <c r="G122" i="21"/>
  <c r="F122" i="21"/>
  <c r="E122" i="21"/>
  <c r="D122" i="21"/>
  <c r="C122" i="21"/>
  <c r="Z121" i="21"/>
  <c r="AA121" i="21" s="1"/>
  <c r="G121" i="21"/>
  <c r="F121" i="21"/>
  <c r="C121" i="21" s="1"/>
  <c r="E121" i="21"/>
  <c r="D121" i="21"/>
  <c r="Z120" i="21"/>
  <c r="G120" i="21"/>
  <c r="F120" i="21"/>
  <c r="C120" i="21" s="1"/>
  <c r="E120" i="21"/>
  <c r="D120" i="21"/>
  <c r="Z119" i="21"/>
  <c r="G119" i="21"/>
  <c r="F119" i="21"/>
  <c r="E119" i="21"/>
  <c r="D119" i="21"/>
  <c r="C119" i="21"/>
  <c r="Z118" i="21"/>
  <c r="G118" i="21"/>
  <c r="F118" i="21"/>
  <c r="E118" i="21"/>
  <c r="D118" i="21"/>
  <c r="C118" i="21"/>
  <c r="Z117" i="21"/>
  <c r="AA117" i="21" s="1"/>
  <c r="G117" i="21"/>
  <c r="F117" i="21"/>
  <c r="C117" i="21" s="1"/>
  <c r="E117" i="21"/>
  <c r="D117" i="21"/>
  <c r="Z116" i="21"/>
  <c r="G116" i="21"/>
  <c r="F116" i="21"/>
  <c r="C116" i="21" s="1"/>
  <c r="E116" i="21"/>
  <c r="D116" i="21"/>
  <c r="Z115" i="21"/>
  <c r="G115" i="21"/>
  <c r="F115" i="21"/>
  <c r="E115" i="21"/>
  <c r="D115" i="21"/>
  <c r="C115" i="21"/>
  <c r="Z114" i="21"/>
  <c r="G114" i="21"/>
  <c r="F114" i="21"/>
  <c r="E114" i="21"/>
  <c r="D114" i="21"/>
  <c r="C114" i="21"/>
  <c r="Z113" i="21"/>
  <c r="G113" i="21"/>
  <c r="AA113" i="21" s="1"/>
  <c r="F113" i="21"/>
  <c r="C113" i="21" s="1"/>
  <c r="E113" i="21"/>
  <c r="D113" i="21"/>
  <c r="Z112" i="21"/>
  <c r="AA112" i="21" s="1"/>
  <c r="G112" i="21"/>
  <c r="F112" i="21"/>
  <c r="C112" i="21" s="1"/>
  <c r="E112" i="21"/>
  <c r="D112" i="21"/>
  <c r="Z111" i="21"/>
  <c r="G111" i="21"/>
  <c r="F111" i="21"/>
  <c r="E111" i="21"/>
  <c r="D111" i="21"/>
  <c r="C111" i="21"/>
  <c r="Z110" i="21"/>
  <c r="G110" i="21"/>
  <c r="F110" i="21"/>
  <c r="E110" i="21"/>
  <c r="D110" i="21"/>
  <c r="C110" i="21"/>
  <c r="Z109" i="21"/>
  <c r="G109" i="21"/>
  <c r="F109" i="21"/>
  <c r="C109" i="21" s="1"/>
  <c r="E109" i="21"/>
  <c r="D109" i="21"/>
  <c r="Z108" i="21"/>
  <c r="AA108" i="21" s="1"/>
  <c r="G108" i="21"/>
  <c r="F108" i="21"/>
  <c r="C108" i="21" s="1"/>
  <c r="E108" i="21"/>
  <c r="D108" i="21"/>
  <c r="Z107" i="21"/>
  <c r="G107" i="21"/>
  <c r="F107" i="21"/>
  <c r="E107" i="21"/>
  <c r="D107" i="21"/>
  <c r="C107" i="21"/>
  <c r="Z106" i="21"/>
  <c r="G106" i="21"/>
  <c r="F106" i="21"/>
  <c r="E106" i="21"/>
  <c r="D106" i="21"/>
  <c r="C106" i="21"/>
  <c r="Z105" i="21"/>
  <c r="AA105" i="21" s="1"/>
  <c r="G105" i="21"/>
  <c r="F105" i="21"/>
  <c r="C105" i="21" s="1"/>
  <c r="E105" i="21"/>
  <c r="D105" i="21"/>
  <c r="Z104" i="21"/>
  <c r="G104" i="21"/>
  <c r="F104" i="21"/>
  <c r="C104" i="21" s="1"/>
  <c r="E104" i="21"/>
  <c r="D104" i="21"/>
  <c r="Z103" i="21"/>
  <c r="G103" i="21"/>
  <c r="F103" i="21"/>
  <c r="E103" i="21"/>
  <c r="D103" i="21"/>
  <c r="C103" i="21"/>
  <c r="Z102" i="21"/>
  <c r="G102" i="21"/>
  <c r="F102" i="21"/>
  <c r="E102" i="21"/>
  <c r="D102" i="21"/>
  <c r="C102" i="21"/>
  <c r="Z101" i="21"/>
  <c r="AA101" i="21" s="1"/>
  <c r="G101" i="21"/>
  <c r="F101" i="21"/>
  <c r="C101" i="21" s="1"/>
  <c r="E101" i="21"/>
  <c r="D101" i="21"/>
  <c r="Z100" i="21"/>
  <c r="G100" i="21"/>
  <c r="F100" i="21"/>
  <c r="C100" i="21" s="1"/>
  <c r="E100" i="21"/>
  <c r="D100" i="21"/>
  <c r="Z99" i="21"/>
  <c r="G99" i="21"/>
  <c r="F99" i="21"/>
  <c r="E99" i="21"/>
  <c r="D99" i="21"/>
  <c r="C99" i="21"/>
  <c r="Z98" i="21"/>
  <c r="G98" i="21"/>
  <c r="F98" i="21"/>
  <c r="E98" i="21"/>
  <c r="D98" i="21"/>
  <c r="C98" i="21"/>
  <c r="AA97" i="21"/>
  <c r="Z97" i="21"/>
  <c r="G97" i="21"/>
  <c r="F97" i="21"/>
  <c r="C97" i="21" s="1"/>
  <c r="E97" i="21"/>
  <c r="D97" i="21"/>
  <c r="Z96" i="21"/>
  <c r="AA96" i="21" s="1"/>
  <c r="G96" i="21"/>
  <c r="F96" i="21"/>
  <c r="C96" i="21" s="1"/>
  <c r="E96" i="21"/>
  <c r="D96" i="21"/>
  <c r="Z95" i="21"/>
  <c r="G95" i="21"/>
  <c r="F95" i="21"/>
  <c r="E95" i="21"/>
  <c r="D95" i="21"/>
  <c r="C95" i="21"/>
  <c r="Z94" i="21"/>
  <c r="G94" i="21"/>
  <c r="F94" i="21"/>
  <c r="E94" i="21"/>
  <c r="D94" i="21"/>
  <c r="C94" i="21"/>
  <c r="Z93" i="21"/>
  <c r="G93" i="21"/>
  <c r="F93" i="21"/>
  <c r="C93" i="21" s="1"/>
  <c r="E93" i="21"/>
  <c r="D93" i="21"/>
  <c r="Z92" i="21"/>
  <c r="AA92" i="21" s="1"/>
  <c r="G92" i="21"/>
  <c r="F92" i="21"/>
  <c r="C92" i="21" s="1"/>
  <c r="E92" i="21"/>
  <c r="D92" i="21"/>
  <c r="Z91" i="21"/>
  <c r="G91" i="21"/>
  <c r="F91" i="21"/>
  <c r="E91" i="21"/>
  <c r="D91" i="21"/>
  <c r="C91" i="21"/>
  <c r="Z90" i="21"/>
  <c r="G90" i="21"/>
  <c r="F90" i="21"/>
  <c r="E90" i="21"/>
  <c r="D90" i="21"/>
  <c r="C90" i="21"/>
  <c r="Z89" i="21"/>
  <c r="AA89" i="21" s="1"/>
  <c r="G89" i="21"/>
  <c r="F89" i="21"/>
  <c r="C89" i="21" s="1"/>
  <c r="E89" i="21"/>
  <c r="D89" i="21"/>
  <c r="Z88" i="21"/>
  <c r="G88" i="21"/>
  <c r="F88" i="21"/>
  <c r="C88" i="21" s="1"/>
  <c r="E88" i="21"/>
  <c r="D88" i="21"/>
  <c r="Z87" i="21"/>
  <c r="G87" i="21"/>
  <c r="F87" i="21"/>
  <c r="E87" i="21"/>
  <c r="D87" i="21"/>
  <c r="C87" i="21"/>
  <c r="Z86" i="21"/>
  <c r="G86" i="21"/>
  <c r="F86" i="21"/>
  <c r="E86" i="21"/>
  <c r="D86" i="21"/>
  <c r="C86" i="21"/>
  <c r="Z85" i="21"/>
  <c r="AA85" i="21" s="1"/>
  <c r="G85" i="21"/>
  <c r="F85" i="21"/>
  <c r="C85" i="21" s="1"/>
  <c r="E85" i="21"/>
  <c r="D85" i="21"/>
  <c r="Z84" i="21"/>
  <c r="G84" i="21"/>
  <c r="F84" i="21"/>
  <c r="C84" i="21" s="1"/>
  <c r="E84" i="21"/>
  <c r="D84" i="21"/>
  <c r="Z83" i="21"/>
  <c r="G83" i="21"/>
  <c r="F83" i="21"/>
  <c r="E83" i="21"/>
  <c r="D83" i="21"/>
  <c r="C83" i="21"/>
  <c r="Z82" i="21"/>
  <c r="G82" i="21"/>
  <c r="F82" i="21"/>
  <c r="E82" i="21"/>
  <c r="D82" i="21"/>
  <c r="C82" i="21"/>
  <c r="Z81" i="21"/>
  <c r="G81" i="21"/>
  <c r="AA81" i="21" s="1"/>
  <c r="F81" i="21"/>
  <c r="C81" i="21" s="1"/>
  <c r="E81" i="21"/>
  <c r="D81" i="21"/>
  <c r="Z80" i="21"/>
  <c r="AA80" i="21" s="1"/>
  <c r="G80" i="21"/>
  <c r="F80" i="21"/>
  <c r="C80" i="21" s="1"/>
  <c r="E80" i="21"/>
  <c r="D80" i="21"/>
  <c r="Z79" i="21"/>
  <c r="G79" i="21"/>
  <c r="F79" i="21"/>
  <c r="E79" i="21"/>
  <c r="D79" i="21"/>
  <c r="C79" i="21"/>
  <c r="Z78" i="21"/>
  <c r="G78" i="21"/>
  <c r="F78" i="21"/>
  <c r="E78" i="21"/>
  <c r="D78" i="21"/>
  <c r="C78" i="21"/>
  <c r="Z77" i="21"/>
  <c r="G77" i="21"/>
  <c r="F77" i="21"/>
  <c r="C77" i="21" s="1"/>
  <c r="E77" i="21"/>
  <c r="D77" i="21"/>
  <c r="Z76" i="21"/>
  <c r="AA76" i="21" s="1"/>
  <c r="G76" i="21"/>
  <c r="F76" i="21"/>
  <c r="C76" i="21" s="1"/>
  <c r="E76" i="21"/>
  <c r="D76" i="21"/>
  <c r="Z75" i="21"/>
  <c r="G75" i="21"/>
  <c r="F75" i="21"/>
  <c r="E75" i="21"/>
  <c r="D75" i="21"/>
  <c r="C75" i="21"/>
  <c r="Z74" i="21"/>
  <c r="G74" i="21"/>
  <c r="F74" i="21"/>
  <c r="E74" i="21"/>
  <c r="D74" i="21"/>
  <c r="C74" i="21"/>
  <c r="Z73" i="21"/>
  <c r="AA73" i="21" s="1"/>
  <c r="G73" i="21"/>
  <c r="F73" i="21"/>
  <c r="C73" i="21" s="1"/>
  <c r="E73" i="21"/>
  <c r="D73" i="21"/>
  <c r="Z72" i="21"/>
  <c r="G72" i="21"/>
  <c r="F72" i="21"/>
  <c r="C72" i="21" s="1"/>
  <c r="E72" i="21"/>
  <c r="D72" i="21"/>
  <c r="Z71" i="21"/>
  <c r="G71" i="21"/>
  <c r="F71" i="21"/>
  <c r="E71" i="21"/>
  <c r="D71" i="21"/>
  <c r="C71" i="21"/>
  <c r="Z70" i="21"/>
  <c r="G70" i="21"/>
  <c r="F70" i="21"/>
  <c r="E70" i="21"/>
  <c r="D70" i="21"/>
  <c r="C70" i="21"/>
  <c r="Z69" i="21"/>
  <c r="AA69" i="21" s="1"/>
  <c r="G69" i="21"/>
  <c r="F69" i="21"/>
  <c r="C69" i="21" s="1"/>
  <c r="E69" i="21"/>
  <c r="D69" i="21"/>
  <c r="Z68" i="21"/>
  <c r="G68" i="21"/>
  <c r="F68" i="21"/>
  <c r="C68" i="21" s="1"/>
  <c r="E68" i="21"/>
  <c r="D68" i="21"/>
  <c r="Z67" i="21"/>
  <c r="G67" i="21"/>
  <c r="F67" i="21"/>
  <c r="E67" i="21"/>
  <c r="D67" i="21"/>
  <c r="C67" i="21"/>
  <c r="Z66" i="21"/>
  <c r="G66" i="21"/>
  <c r="F66" i="21"/>
  <c r="E66" i="21"/>
  <c r="D66" i="21"/>
  <c r="C66" i="21"/>
  <c r="AA65" i="21"/>
  <c r="Z65" i="21"/>
  <c r="G65" i="21"/>
  <c r="F65" i="21"/>
  <c r="C65" i="21" s="1"/>
  <c r="E65" i="21"/>
  <c r="D65" i="21"/>
  <c r="Z64" i="21"/>
  <c r="G64" i="21"/>
  <c r="AA64" i="21" s="1"/>
  <c r="F64" i="21"/>
  <c r="C64" i="21" s="1"/>
  <c r="E64" i="21"/>
  <c r="D64" i="21"/>
  <c r="Z63" i="21"/>
  <c r="G63" i="21"/>
  <c r="F63" i="21"/>
  <c r="E63" i="21"/>
  <c r="D63" i="21"/>
  <c r="C63" i="21"/>
  <c r="Z62" i="21"/>
  <c r="G62" i="21"/>
  <c r="F62" i="21"/>
  <c r="E62" i="21"/>
  <c r="D62" i="21"/>
  <c r="C62" i="21"/>
  <c r="Z61" i="21"/>
  <c r="G61" i="21"/>
  <c r="F61" i="21"/>
  <c r="C61" i="21" s="1"/>
  <c r="E61" i="21"/>
  <c r="D61" i="21"/>
  <c r="Z60" i="21"/>
  <c r="G60" i="21"/>
  <c r="F60" i="21"/>
  <c r="C60" i="21" s="1"/>
  <c r="E60" i="21"/>
  <c r="D60" i="21"/>
  <c r="Z59" i="21"/>
  <c r="AA59" i="21" s="1"/>
  <c r="G59" i="21"/>
  <c r="F59" i="21"/>
  <c r="E59" i="21"/>
  <c r="D59" i="21"/>
  <c r="C59" i="21"/>
  <c r="Z58" i="21"/>
  <c r="G58" i="21"/>
  <c r="F58" i="21"/>
  <c r="E58" i="21"/>
  <c r="D58" i="21"/>
  <c r="C58" i="21"/>
  <c r="Z57" i="21"/>
  <c r="G57" i="21"/>
  <c r="AA57" i="21" s="1"/>
  <c r="F57" i="21"/>
  <c r="C57" i="21" s="1"/>
  <c r="E57" i="21"/>
  <c r="D57" i="21"/>
  <c r="AA56" i="21"/>
  <c r="Z56" i="21"/>
  <c r="G56" i="21"/>
  <c r="F56" i="21"/>
  <c r="E56" i="21"/>
  <c r="D56" i="21"/>
  <c r="C56" i="21"/>
  <c r="Z55" i="21"/>
  <c r="G55" i="21"/>
  <c r="F55" i="21"/>
  <c r="C55" i="21" s="1"/>
  <c r="E55" i="21"/>
  <c r="D55" i="21"/>
  <c r="Z54" i="21"/>
  <c r="G54" i="21"/>
  <c r="F54" i="21"/>
  <c r="E54" i="21"/>
  <c r="D54" i="21"/>
  <c r="C54" i="21"/>
  <c r="Z53" i="21"/>
  <c r="AA53" i="21" s="1"/>
  <c r="G53" i="21"/>
  <c r="F53" i="21"/>
  <c r="C53" i="21" s="1"/>
  <c r="E53" i="21"/>
  <c r="D53" i="21"/>
  <c r="Z52" i="21"/>
  <c r="G52" i="21"/>
  <c r="F52" i="21"/>
  <c r="E52" i="21"/>
  <c r="D52" i="21"/>
  <c r="C52" i="21"/>
  <c r="Z51" i="21"/>
  <c r="G51" i="21"/>
  <c r="F51" i="21"/>
  <c r="C51" i="21" s="1"/>
  <c r="E51" i="21"/>
  <c r="D51" i="21"/>
  <c r="Z50" i="21"/>
  <c r="G50" i="21"/>
  <c r="F50" i="21"/>
  <c r="E50" i="21"/>
  <c r="D50" i="21"/>
  <c r="C50" i="21"/>
  <c r="Z49" i="21"/>
  <c r="AA49" i="21" s="1"/>
  <c r="G49" i="21"/>
  <c r="F49" i="21"/>
  <c r="C49" i="21" s="1"/>
  <c r="E49" i="21"/>
  <c r="D49" i="21"/>
  <c r="Z48" i="21"/>
  <c r="AA48" i="21" s="1"/>
  <c r="G48" i="21"/>
  <c r="F48" i="21"/>
  <c r="E48" i="21"/>
  <c r="D48" i="21"/>
  <c r="C48" i="21"/>
  <c r="Z47" i="21"/>
  <c r="AA47" i="21" s="1"/>
  <c r="G47" i="21"/>
  <c r="F47" i="21"/>
  <c r="C47" i="21" s="1"/>
  <c r="E47" i="21"/>
  <c r="D47" i="21"/>
  <c r="Z46" i="21"/>
  <c r="G46" i="21"/>
  <c r="F46" i="21"/>
  <c r="E46" i="21"/>
  <c r="D46" i="21"/>
  <c r="C46" i="21"/>
  <c r="Z45" i="21"/>
  <c r="G45" i="21"/>
  <c r="F45" i="21"/>
  <c r="C45" i="21" s="1"/>
  <c r="E45" i="21"/>
  <c r="D45" i="21"/>
  <c r="Z44" i="21"/>
  <c r="AA44" i="21" s="1"/>
  <c r="G44" i="21"/>
  <c r="F44" i="21"/>
  <c r="E44" i="21"/>
  <c r="D44" i="21"/>
  <c r="C44" i="21"/>
  <c r="Z43" i="21"/>
  <c r="AA43" i="21" s="1"/>
  <c r="G43" i="21"/>
  <c r="F43" i="21"/>
  <c r="C43" i="21" s="1"/>
  <c r="E43" i="21"/>
  <c r="D43" i="21"/>
  <c r="Z42" i="21"/>
  <c r="G42" i="21"/>
  <c r="AA42" i="21" s="1"/>
  <c r="F42" i="21"/>
  <c r="E42" i="21"/>
  <c r="D42" i="21"/>
  <c r="C42" i="21"/>
  <c r="Z41" i="21"/>
  <c r="G41" i="21"/>
  <c r="F41" i="21"/>
  <c r="C41" i="21" s="1"/>
  <c r="E41" i="21"/>
  <c r="D41" i="21"/>
  <c r="Z40" i="21"/>
  <c r="G40" i="21"/>
  <c r="AA40" i="21" s="1"/>
  <c r="F40" i="21"/>
  <c r="E40" i="21"/>
  <c r="D40" i="21"/>
  <c r="C40" i="21"/>
  <c r="Z39" i="21"/>
  <c r="G39" i="21"/>
  <c r="F39" i="21"/>
  <c r="C39" i="21" s="1"/>
  <c r="E39" i="21"/>
  <c r="D39" i="21"/>
  <c r="Z38" i="21"/>
  <c r="G38" i="21"/>
  <c r="F38" i="21"/>
  <c r="E38" i="21"/>
  <c r="D38" i="21"/>
  <c r="C38" i="21"/>
  <c r="Z37" i="21"/>
  <c r="AA37" i="21" s="1"/>
  <c r="G37" i="21"/>
  <c r="F37" i="21"/>
  <c r="C37" i="21" s="1"/>
  <c r="E37" i="21"/>
  <c r="D37" i="21"/>
  <c r="Z36" i="21"/>
  <c r="G36" i="21"/>
  <c r="F36" i="21"/>
  <c r="E36" i="21"/>
  <c r="D36" i="21"/>
  <c r="C36" i="21"/>
  <c r="Z35" i="21"/>
  <c r="G35" i="21"/>
  <c r="F35" i="21"/>
  <c r="C35" i="21" s="1"/>
  <c r="E35" i="21"/>
  <c r="D35" i="21"/>
  <c r="Z34" i="21"/>
  <c r="G34" i="21"/>
  <c r="F34" i="21"/>
  <c r="E34" i="21"/>
  <c r="D34" i="21"/>
  <c r="C34" i="21"/>
  <c r="Z33" i="21"/>
  <c r="AA33" i="21" s="1"/>
  <c r="G33" i="21"/>
  <c r="F33" i="21"/>
  <c r="C33" i="21" s="1"/>
  <c r="E33" i="21"/>
  <c r="D33" i="21"/>
  <c r="Z32" i="21"/>
  <c r="AA32" i="21" s="1"/>
  <c r="G32" i="21"/>
  <c r="F32" i="21"/>
  <c r="E32" i="21"/>
  <c r="D32" i="21"/>
  <c r="C32" i="21"/>
  <c r="Z31" i="21"/>
  <c r="AA31" i="21" s="1"/>
  <c r="G31" i="21"/>
  <c r="F31" i="21"/>
  <c r="C31" i="21" s="1"/>
  <c r="E31" i="21"/>
  <c r="D31" i="21"/>
  <c r="Z30" i="21"/>
  <c r="G30" i="21"/>
  <c r="F30" i="21"/>
  <c r="E30" i="21"/>
  <c r="D30" i="21"/>
  <c r="C30" i="21"/>
  <c r="Z29" i="21"/>
  <c r="G29" i="21"/>
  <c r="F29" i="21"/>
  <c r="C29" i="21" s="1"/>
  <c r="E29" i="21"/>
  <c r="D29" i="21"/>
  <c r="Z28" i="21"/>
  <c r="AA28" i="21" s="1"/>
  <c r="G28" i="21"/>
  <c r="F28" i="21"/>
  <c r="E28" i="21"/>
  <c r="D28" i="21"/>
  <c r="C28" i="21"/>
  <c r="Z27" i="21"/>
  <c r="AA27" i="21" s="1"/>
  <c r="G27" i="21"/>
  <c r="F27" i="21"/>
  <c r="C27" i="21" s="1"/>
  <c r="E27" i="21"/>
  <c r="D27" i="21"/>
  <c r="Z26" i="21"/>
  <c r="G26" i="21"/>
  <c r="AA26" i="21" s="1"/>
  <c r="F26" i="21"/>
  <c r="E26" i="21"/>
  <c r="D26" i="21"/>
  <c r="C26" i="21"/>
  <c r="Z25" i="21"/>
  <c r="G25" i="21"/>
  <c r="F25" i="21"/>
  <c r="C25" i="21" s="1"/>
  <c r="E25" i="21"/>
  <c r="D25" i="21"/>
  <c r="AA24" i="21"/>
  <c r="Z24" i="21"/>
  <c r="G24" i="21"/>
  <c r="F24" i="21"/>
  <c r="E24" i="21"/>
  <c r="D24" i="21"/>
  <c r="C24" i="21"/>
  <c r="Z23" i="21"/>
  <c r="G23" i="21"/>
  <c r="F23" i="21"/>
  <c r="C23" i="21" s="1"/>
  <c r="E23" i="21"/>
  <c r="D23" i="21"/>
  <c r="Z22" i="21"/>
  <c r="G22" i="21"/>
  <c r="F22" i="21"/>
  <c r="E22" i="21"/>
  <c r="D22" i="21"/>
  <c r="C22" i="21"/>
  <c r="Z21" i="21"/>
  <c r="AA21" i="21" s="1"/>
  <c r="G21" i="21"/>
  <c r="F21" i="21"/>
  <c r="C21" i="21" s="1"/>
  <c r="E21" i="21"/>
  <c r="D21" i="21"/>
  <c r="Z20" i="21"/>
  <c r="G20" i="21"/>
  <c r="F20" i="21"/>
  <c r="E20" i="21"/>
  <c r="D20" i="21"/>
  <c r="C20" i="21"/>
  <c r="Z19" i="21"/>
  <c r="G19" i="21"/>
  <c r="F19" i="21"/>
  <c r="C19" i="21" s="1"/>
  <c r="E19" i="21"/>
  <c r="D19" i="21"/>
  <c r="Z18" i="21"/>
  <c r="G18" i="21"/>
  <c r="F18" i="21"/>
  <c r="E18" i="21"/>
  <c r="D18" i="21"/>
  <c r="C18" i="21"/>
  <c r="Z17" i="21"/>
  <c r="AA17" i="21" s="1"/>
  <c r="G17" i="21"/>
  <c r="F17" i="21"/>
  <c r="C17" i="21" s="1"/>
  <c r="E17" i="21"/>
  <c r="D17" i="21"/>
  <c r="Z16" i="21"/>
  <c r="AA16" i="21" s="1"/>
  <c r="G16" i="21"/>
  <c r="F16" i="21"/>
  <c r="E16" i="21"/>
  <c r="D16" i="21"/>
  <c r="C16" i="21"/>
  <c r="Z15" i="21"/>
  <c r="AA15" i="21" s="1"/>
  <c r="G15" i="21"/>
  <c r="F15" i="21"/>
  <c r="C15" i="21" s="1"/>
  <c r="E15" i="21"/>
  <c r="D15" i="21"/>
  <c r="Z14" i="21"/>
  <c r="G14" i="21"/>
  <c r="F14" i="21"/>
  <c r="E14" i="21"/>
  <c r="D14" i="21"/>
  <c r="C14" i="21"/>
  <c r="Z13" i="21"/>
  <c r="G13" i="21"/>
  <c r="F13" i="21"/>
  <c r="C13" i="21" s="1"/>
  <c r="E13" i="21"/>
  <c r="D13" i="21"/>
  <c r="Z12" i="21"/>
  <c r="AA12" i="21" s="1"/>
  <c r="G12" i="21"/>
  <c r="F12" i="21"/>
  <c r="E12" i="21"/>
  <c r="D12" i="21"/>
  <c r="C12" i="21"/>
  <c r="Z11" i="21"/>
  <c r="AA11" i="21" s="1"/>
  <c r="G11" i="21"/>
  <c r="F11" i="21"/>
  <c r="C11" i="21" s="1"/>
  <c r="E11" i="21"/>
  <c r="D11" i="21"/>
  <c r="Z10" i="21"/>
  <c r="G10" i="21"/>
  <c r="AA10" i="21" s="1"/>
  <c r="F10" i="21"/>
  <c r="E10" i="21"/>
  <c r="D10" i="21"/>
  <c r="C10" i="21"/>
  <c r="Z9" i="21"/>
  <c r="G9" i="21"/>
  <c r="F9" i="21"/>
  <c r="C9" i="21" s="1"/>
  <c r="E9" i="21"/>
  <c r="D9" i="21"/>
  <c r="Z8" i="21"/>
  <c r="G8" i="21"/>
  <c r="AA8" i="21" s="1"/>
  <c r="F8" i="21"/>
  <c r="E8" i="21"/>
  <c r="D8" i="21"/>
  <c r="C8" i="21"/>
  <c r="Z329" i="20"/>
  <c r="AA329" i="20" s="1"/>
  <c r="Z328" i="20"/>
  <c r="AA328" i="20" s="1"/>
  <c r="Z327" i="20"/>
  <c r="AA327" i="20" s="1"/>
  <c r="Z325" i="20"/>
  <c r="AA325" i="20" s="1"/>
  <c r="G325" i="20"/>
  <c r="F325" i="20"/>
  <c r="C325" i="20" s="1"/>
  <c r="E325" i="20"/>
  <c r="D325" i="20"/>
  <c r="Z324" i="20"/>
  <c r="AA324" i="20" s="1"/>
  <c r="G324" i="20"/>
  <c r="F324" i="20"/>
  <c r="E324" i="20"/>
  <c r="D324" i="20"/>
  <c r="C324" i="20"/>
  <c r="Z323" i="20"/>
  <c r="G323" i="20"/>
  <c r="F323" i="20"/>
  <c r="C323" i="20" s="1"/>
  <c r="E323" i="20"/>
  <c r="D323" i="20"/>
  <c r="Z322" i="20"/>
  <c r="AA322" i="20" s="1"/>
  <c r="G322" i="20"/>
  <c r="F322" i="20"/>
  <c r="C322" i="20" s="1"/>
  <c r="E322" i="20"/>
  <c r="D322" i="20"/>
  <c r="Z321" i="20"/>
  <c r="AA321" i="20" s="1"/>
  <c r="G321" i="20"/>
  <c r="F321" i="20"/>
  <c r="C321" i="20" s="1"/>
  <c r="E321" i="20"/>
  <c r="D321" i="20"/>
  <c r="Z320" i="20"/>
  <c r="G320" i="20"/>
  <c r="F320" i="20"/>
  <c r="E320" i="20"/>
  <c r="D320" i="20"/>
  <c r="C320" i="20"/>
  <c r="Z319" i="20"/>
  <c r="G319" i="20"/>
  <c r="F319" i="20"/>
  <c r="C319" i="20" s="1"/>
  <c r="E319" i="20"/>
  <c r="D319" i="20"/>
  <c r="Z318" i="20"/>
  <c r="AA318" i="20" s="1"/>
  <c r="G318" i="20"/>
  <c r="F318" i="20"/>
  <c r="C318" i="20" s="1"/>
  <c r="E318" i="20"/>
  <c r="D318" i="20"/>
  <c r="Z317" i="20"/>
  <c r="AA317" i="20" s="1"/>
  <c r="G317" i="20"/>
  <c r="F317" i="20"/>
  <c r="C317" i="20" s="1"/>
  <c r="E317" i="20"/>
  <c r="D317" i="20"/>
  <c r="Z316" i="20"/>
  <c r="G316" i="20"/>
  <c r="F316" i="20"/>
  <c r="E316" i="20"/>
  <c r="D316" i="20"/>
  <c r="C316" i="20"/>
  <c r="Z315" i="20"/>
  <c r="AA315" i="20" s="1"/>
  <c r="G315" i="20"/>
  <c r="F315" i="20"/>
  <c r="C315" i="20" s="1"/>
  <c r="E315" i="20"/>
  <c r="D315" i="20"/>
  <c r="Z314" i="20"/>
  <c r="AA314" i="20" s="1"/>
  <c r="G314" i="20"/>
  <c r="F314" i="20"/>
  <c r="C314" i="20" s="1"/>
  <c r="E314" i="20"/>
  <c r="D314" i="20"/>
  <c r="Z313" i="20"/>
  <c r="G313" i="20"/>
  <c r="F313" i="20"/>
  <c r="C313" i="20" s="1"/>
  <c r="E313" i="20"/>
  <c r="D313" i="20"/>
  <c r="Z312" i="20"/>
  <c r="G312" i="20"/>
  <c r="F312" i="20"/>
  <c r="E312" i="20"/>
  <c r="D312" i="20"/>
  <c r="C312" i="20"/>
  <c r="Z311" i="20"/>
  <c r="AA311" i="20" s="1"/>
  <c r="G311" i="20"/>
  <c r="F311" i="20"/>
  <c r="C311" i="20" s="1"/>
  <c r="E311" i="20"/>
  <c r="D311" i="20"/>
  <c r="Z310" i="20"/>
  <c r="G310" i="20"/>
  <c r="F310" i="20"/>
  <c r="C310" i="20" s="1"/>
  <c r="E310" i="20"/>
  <c r="D310" i="20"/>
  <c r="Z309" i="20"/>
  <c r="AA309" i="20" s="1"/>
  <c r="G309" i="20"/>
  <c r="F309" i="20"/>
  <c r="C309" i="20" s="1"/>
  <c r="E309" i="20"/>
  <c r="D309" i="20"/>
  <c r="Z308" i="20"/>
  <c r="G308" i="20"/>
  <c r="F308" i="20"/>
  <c r="E308" i="20"/>
  <c r="D308" i="20"/>
  <c r="C308" i="20"/>
  <c r="Z307" i="20"/>
  <c r="G307" i="20"/>
  <c r="F307" i="20"/>
  <c r="C307" i="20" s="1"/>
  <c r="E307" i="20"/>
  <c r="D307" i="20"/>
  <c r="Z306" i="20"/>
  <c r="G306" i="20"/>
  <c r="F306" i="20"/>
  <c r="C306" i="20" s="1"/>
  <c r="E306" i="20"/>
  <c r="D306" i="20"/>
  <c r="Z305" i="20"/>
  <c r="AA305" i="20" s="1"/>
  <c r="G305" i="20"/>
  <c r="F305" i="20"/>
  <c r="C305" i="20" s="1"/>
  <c r="E305" i="20"/>
  <c r="D305" i="20"/>
  <c r="Z304" i="20"/>
  <c r="AA304" i="20" s="1"/>
  <c r="G304" i="20"/>
  <c r="F304" i="20"/>
  <c r="E304" i="20"/>
  <c r="D304" i="20"/>
  <c r="C304" i="20"/>
  <c r="Z303" i="20"/>
  <c r="G303" i="20"/>
  <c r="F303" i="20"/>
  <c r="C303" i="20" s="1"/>
  <c r="E303" i="20"/>
  <c r="D303" i="20"/>
  <c r="Z302" i="20"/>
  <c r="AA302" i="20" s="1"/>
  <c r="G302" i="20"/>
  <c r="F302" i="20"/>
  <c r="C302" i="20" s="1"/>
  <c r="E302" i="20"/>
  <c r="D302" i="20"/>
  <c r="Z301" i="20"/>
  <c r="AA301" i="20" s="1"/>
  <c r="G301" i="20"/>
  <c r="F301" i="20"/>
  <c r="C301" i="20" s="1"/>
  <c r="E301" i="20"/>
  <c r="D301" i="20"/>
  <c r="Z300" i="20"/>
  <c r="G300" i="20"/>
  <c r="F300" i="20"/>
  <c r="E300" i="20"/>
  <c r="D300" i="20"/>
  <c r="C300" i="20"/>
  <c r="Z299" i="20"/>
  <c r="AA299" i="20" s="1"/>
  <c r="G299" i="20"/>
  <c r="F299" i="20"/>
  <c r="C299" i="20" s="1"/>
  <c r="E299" i="20"/>
  <c r="D299" i="20"/>
  <c r="Z298" i="20"/>
  <c r="AA298" i="20" s="1"/>
  <c r="G298" i="20"/>
  <c r="F298" i="20"/>
  <c r="C298" i="20" s="1"/>
  <c r="E298" i="20"/>
  <c r="D298" i="20"/>
  <c r="Z297" i="20"/>
  <c r="G297" i="20"/>
  <c r="F297" i="20"/>
  <c r="C297" i="20" s="1"/>
  <c r="E297" i="20"/>
  <c r="D297" i="20"/>
  <c r="Z296" i="20"/>
  <c r="G296" i="20"/>
  <c r="F296" i="20"/>
  <c r="E296" i="20"/>
  <c r="D296" i="20"/>
  <c r="C296" i="20"/>
  <c r="Z295" i="20"/>
  <c r="AA295" i="20" s="1"/>
  <c r="G295" i="20"/>
  <c r="F295" i="20"/>
  <c r="C295" i="20" s="1"/>
  <c r="E295" i="20"/>
  <c r="D295" i="20"/>
  <c r="Z294" i="20"/>
  <c r="G294" i="20"/>
  <c r="F294" i="20"/>
  <c r="C294" i="20" s="1"/>
  <c r="E294" i="20"/>
  <c r="D294" i="20"/>
  <c r="Z293" i="20"/>
  <c r="G293" i="20"/>
  <c r="F293" i="20"/>
  <c r="C293" i="20" s="1"/>
  <c r="E293" i="20"/>
  <c r="D293" i="20"/>
  <c r="Z292" i="20"/>
  <c r="AA292" i="20" s="1"/>
  <c r="G292" i="20"/>
  <c r="F292" i="20"/>
  <c r="E292" i="20"/>
  <c r="D292" i="20"/>
  <c r="C292" i="20"/>
  <c r="Z291" i="20"/>
  <c r="G291" i="20"/>
  <c r="F291" i="20"/>
  <c r="C291" i="20" s="1"/>
  <c r="E291" i="20"/>
  <c r="D291" i="20"/>
  <c r="Z290" i="20"/>
  <c r="G290" i="20"/>
  <c r="F290" i="20"/>
  <c r="C290" i="20" s="1"/>
  <c r="E290" i="20"/>
  <c r="D290" i="20"/>
  <c r="Z289" i="20"/>
  <c r="AA289" i="20" s="1"/>
  <c r="G289" i="20"/>
  <c r="F289" i="20"/>
  <c r="C289" i="20" s="1"/>
  <c r="E289" i="20"/>
  <c r="D289" i="20"/>
  <c r="Z288" i="20"/>
  <c r="AA288" i="20" s="1"/>
  <c r="G288" i="20"/>
  <c r="F288" i="20"/>
  <c r="E288" i="20"/>
  <c r="D288" i="20"/>
  <c r="C288" i="20"/>
  <c r="Z287" i="20"/>
  <c r="G287" i="20"/>
  <c r="F287" i="20"/>
  <c r="C287" i="20" s="1"/>
  <c r="E287" i="20"/>
  <c r="D287" i="20"/>
  <c r="Z286" i="20"/>
  <c r="AA286" i="20" s="1"/>
  <c r="G286" i="20"/>
  <c r="F286" i="20"/>
  <c r="C286" i="20" s="1"/>
  <c r="E286" i="20"/>
  <c r="D286" i="20"/>
  <c r="Z285" i="20"/>
  <c r="AA285" i="20" s="1"/>
  <c r="G285" i="20"/>
  <c r="F285" i="20"/>
  <c r="C285" i="20" s="1"/>
  <c r="E285" i="20"/>
  <c r="D285" i="20"/>
  <c r="Z284" i="20"/>
  <c r="G284" i="20"/>
  <c r="F284" i="20"/>
  <c r="E284" i="20"/>
  <c r="D284" i="20"/>
  <c r="C284" i="20"/>
  <c r="Z283" i="20"/>
  <c r="AA283" i="20" s="1"/>
  <c r="G283" i="20"/>
  <c r="F283" i="20"/>
  <c r="C283" i="20" s="1"/>
  <c r="E283" i="20"/>
  <c r="D283" i="20"/>
  <c r="Z282" i="20"/>
  <c r="AA282" i="20" s="1"/>
  <c r="G282" i="20"/>
  <c r="F282" i="20"/>
  <c r="C282" i="20" s="1"/>
  <c r="E282" i="20"/>
  <c r="D282" i="20"/>
  <c r="Z281" i="20"/>
  <c r="G281" i="20"/>
  <c r="F281" i="20"/>
  <c r="C281" i="20" s="1"/>
  <c r="E281" i="20"/>
  <c r="D281" i="20"/>
  <c r="Z280" i="20"/>
  <c r="G280" i="20"/>
  <c r="F280" i="20"/>
  <c r="E280" i="20"/>
  <c r="D280" i="20"/>
  <c r="C280" i="20"/>
  <c r="Z279" i="20"/>
  <c r="AA279" i="20" s="1"/>
  <c r="G279" i="20"/>
  <c r="F279" i="20"/>
  <c r="C279" i="20" s="1"/>
  <c r="E279" i="20"/>
  <c r="D279" i="20"/>
  <c r="Z278" i="20"/>
  <c r="G278" i="20"/>
  <c r="F278" i="20"/>
  <c r="C278" i="20" s="1"/>
  <c r="E278" i="20"/>
  <c r="D278" i="20"/>
  <c r="Z277" i="20"/>
  <c r="G277" i="20"/>
  <c r="F277" i="20"/>
  <c r="C277" i="20" s="1"/>
  <c r="E277" i="20"/>
  <c r="D277" i="20"/>
  <c r="Z276" i="20"/>
  <c r="G276" i="20"/>
  <c r="F276" i="20"/>
  <c r="E276" i="20"/>
  <c r="D276" i="20"/>
  <c r="C276" i="20"/>
  <c r="Z275" i="20"/>
  <c r="G275" i="20"/>
  <c r="F275" i="20"/>
  <c r="C275" i="20" s="1"/>
  <c r="E275" i="20"/>
  <c r="D275" i="20"/>
  <c r="Z274" i="20"/>
  <c r="G274" i="20"/>
  <c r="F274" i="20"/>
  <c r="C274" i="20" s="1"/>
  <c r="E274" i="20"/>
  <c r="D274" i="20"/>
  <c r="Z273" i="20"/>
  <c r="AA273" i="20" s="1"/>
  <c r="G273" i="20"/>
  <c r="F273" i="20"/>
  <c r="C273" i="20" s="1"/>
  <c r="E273" i="20"/>
  <c r="D273" i="20"/>
  <c r="Z272" i="20"/>
  <c r="AA272" i="20" s="1"/>
  <c r="G272" i="20"/>
  <c r="F272" i="20"/>
  <c r="E272" i="20"/>
  <c r="D272" i="20"/>
  <c r="C272" i="20"/>
  <c r="Z271" i="20"/>
  <c r="G271" i="20"/>
  <c r="F271" i="20"/>
  <c r="C271" i="20" s="1"/>
  <c r="E271" i="20"/>
  <c r="D271" i="20"/>
  <c r="Z270" i="20"/>
  <c r="AA270" i="20" s="1"/>
  <c r="G270" i="20"/>
  <c r="F270" i="20"/>
  <c r="C270" i="20" s="1"/>
  <c r="E270" i="20"/>
  <c r="D270" i="20"/>
  <c r="Z269" i="20"/>
  <c r="AA269" i="20" s="1"/>
  <c r="G269" i="20"/>
  <c r="F269" i="20"/>
  <c r="C269" i="20" s="1"/>
  <c r="E269" i="20"/>
  <c r="D269" i="20"/>
  <c r="Z268" i="20"/>
  <c r="G268" i="20"/>
  <c r="F268" i="20"/>
  <c r="E268" i="20"/>
  <c r="D268" i="20"/>
  <c r="C268" i="20"/>
  <c r="Z267" i="20"/>
  <c r="AA267" i="20" s="1"/>
  <c r="G267" i="20"/>
  <c r="F267" i="20"/>
  <c r="C267" i="20" s="1"/>
  <c r="E267" i="20"/>
  <c r="D267" i="20"/>
  <c r="Z266" i="20"/>
  <c r="AA266" i="20" s="1"/>
  <c r="G266" i="20"/>
  <c r="F266" i="20"/>
  <c r="C266" i="20" s="1"/>
  <c r="E266" i="20"/>
  <c r="D266" i="20"/>
  <c r="Z265" i="20"/>
  <c r="G265" i="20"/>
  <c r="F265" i="20"/>
  <c r="C265" i="20" s="1"/>
  <c r="E265" i="20"/>
  <c r="D265" i="20"/>
  <c r="Z264" i="20"/>
  <c r="G264" i="20"/>
  <c r="F264" i="20"/>
  <c r="E264" i="20"/>
  <c r="D264" i="20"/>
  <c r="C264" i="20"/>
  <c r="Z263" i="20"/>
  <c r="AA263" i="20" s="1"/>
  <c r="G263" i="20"/>
  <c r="F263" i="20"/>
  <c r="C263" i="20" s="1"/>
  <c r="E263" i="20"/>
  <c r="D263" i="20"/>
  <c r="Z262" i="20"/>
  <c r="G262" i="20"/>
  <c r="F262" i="20"/>
  <c r="C262" i="20" s="1"/>
  <c r="E262" i="20"/>
  <c r="D262" i="20"/>
  <c r="Z261" i="20"/>
  <c r="G261" i="20"/>
  <c r="F261" i="20"/>
  <c r="C261" i="20" s="1"/>
  <c r="E261" i="20"/>
  <c r="D261" i="20"/>
  <c r="Z260" i="20"/>
  <c r="G260" i="20"/>
  <c r="F260" i="20"/>
  <c r="E260" i="20"/>
  <c r="D260" i="20"/>
  <c r="C260" i="20"/>
  <c r="Z259" i="20"/>
  <c r="G259" i="20"/>
  <c r="F259" i="20"/>
  <c r="C259" i="20" s="1"/>
  <c r="E259" i="20"/>
  <c r="D259" i="20"/>
  <c r="Z258" i="20"/>
  <c r="G258" i="20"/>
  <c r="F258" i="20"/>
  <c r="C258" i="20" s="1"/>
  <c r="E258" i="20"/>
  <c r="D258" i="20"/>
  <c r="Z257" i="20"/>
  <c r="AA257" i="20" s="1"/>
  <c r="G257" i="20"/>
  <c r="F257" i="20"/>
  <c r="C257" i="20" s="1"/>
  <c r="E257" i="20"/>
  <c r="D257" i="20"/>
  <c r="Z256" i="20"/>
  <c r="AA256" i="20" s="1"/>
  <c r="G256" i="20"/>
  <c r="F256" i="20"/>
  <c r="E256" i="20"/>
  <c r="D256" i="20"/>
  <c r="C256" i="20"/>
  <c r="Z255" i="20"/>
  <c r="G255" i="20"/>
  <c r="F255" i="20"/>
  <c r="C255" i="20" s="1"/>
  <c r="E255" i="20"/>
  <c r="D255" i="20"/>
  <c r="Z254" i="20"/>
  <c r="AA254" i="20" s="1"/>
  <c r="G254" i="20"/>
  <c r="F254" i="20"/>
  <c r="C254" i="20" s="1"/>
  <c r="E254" i="20"/>
  <c r="D254" i="20"/>
  <c r="Z253" i="20"/>
  <c r="AA253" i="20" s="1"/>
  <c r="G253" i="20"/>
  <c r="F253" i="20"/>
  <c r="C253" i="20" s="1"/>
  <c r="E253" i="20"/>
  <c r="D253" i="20"/>
  <c r="Z252" i="20"/>
  <c r="G252" i="20"/>
  <c r="F252" i="20"/>
  <c r="E252" i="20"/>
  <c r="D252" i="20"/>
  <c r="C252" i="20"/>
  <c r="Z251" i="20"/>
  <c r="AA251" i="20" s="1"/>
  <c r="G251" i="20"/>
  <c r="F251" i="20"/>
  <c r="C251" i="20" s="1"/>
  <c r="E251" i="20"/>
  <c r="D251" i="20"/>
  <c r="Z250" i="20"/>
  <c r="AA250" i="20" s="1"/>
  <c r="G250" i="20"/>
  <c r="F250" i="20"/>
  <c r="C250" i="20" s="1"/>
  <c r="E250" i="20"/>
  <c r="D250" i="20"/>
  <c r="Z249" i="20"/>
  <c r="G249" i="20"/>
  <c r="F249" i="20"/>
  <c r="C249" i="20" s="1"/>
  <c r="E249" i="20"/>
  <c r="D249" i="20"/>
  <c r="Z248" i="20"/>
  <c r="G248" i="20"/>
  <c r="F248" i="20"/>
  <c r="E248" i="20"/>
  <c r="D248" i="20"/>
  <c r="C248" i="20"/>
  <c r="Z247" i="20"/>
  <c r="AA247" i="20" s="1"/>
  <c r="G247" i="20"/>
  <c r="F247" i="20"/>
  <c r="C247" i="20" s="1"/>
  <c r="E247" i="20"/>
  <c r="D247" i="20"/>
  <c r="Z246" i="20"/>
  <c r="AA246" i="20" s="1"/>
  <c r="G246" i="20"/>
  <c r="F246" i="20"/>
  <c r="C246" i="20" s="1"/>
  <c r="E246" i="20"/>
  <c r="D246" i="20"/>
  <c r="AA245" i="20"/>
  <c r="Z245" i="20"/>
  <c r="G245" i="20"/>
  <c r="F245" i="20"/>
  <c r="C245" i="20" s="1"/>
  <c r="E245" i="20"/>
  <c r="D245" i="20"/>
  <c r="Z244" i="20"/>
  <c r="G244" i="20"/>
  <c r="F244" i="20"/>
  <c r="E244" i="20"/>
  <c r="D244" i="20"/>
  <c r="C244" i="20"/>
  <c r="Z243" i="20"/>
  <c r="AA243" i="20" s="1"/>
  <c r="G243" i="20"/>
  <c r="F243" i="20"/>
  <c r="C243" i="20" s="1"/>
  <c r="E243" i="20"/>
  <c r="D243" i="20"/>
  <c r="Z242" i="20"/>
  <c r="AA242" i="20" s="1"/>
  <c r="G242" i="20"/>
  <c r="F242" i="20"/>
  <c r="C242" i="20" s="1"/>
  <c r="E242" i="20"/>
  <c r="D242" i="20"/>
  <c r="Z241" i="20"/>
  <c r="G241" i="20"/>
  <c r="F241" i="20"/>
  <c r="C241" i="20" s="1"/>
  <c r="E241" i="20"/>
  <c r="D241" i="20"/>
  <c r="Z240" i="20"/>
  <c r="G240" i="20"/>
  <c r="F240" i="20"/>
  <c r="E240" i="20"/>
  <c r="D240" i="20"/>
  <c r="C240" i="20"/>
  <c r="Z239" i="20"/>
  <c r="AA239" i="20" s="1"/>
  <c r="G239" i="20"/>
  <c r="F239" i="20"/>
  <c r="C239" i="20" s="1"/>
  <c r="E239" i="20"/>
  <c r="D239" i="20"/>
  <c r="Z238" i="20"/>
  <c r="AA238" i="20" s="1"/>
  <c r="G238" i="20"/>
  <c r="F238" i="20"/>
  <c r="E238" i="20"/>
  <c r="D238" i="20"/>
  <c r="C238" i="20"/>
  <c r="Z237" i="20"/>
  <c r="AA237" i="20" s="1"/>
  <c r="G237" i="20"/>
  <c r="F237" i="20"/>
  <c r="C237" i="20" s="1"/>
  <c r="E237" i="20"/>
  <c r="D237" i="20"/>
  <c r="Z236" i="20"/>
  <c r="AA236" i="20" s="1"/>
  <c r="G236" i="20"/>
  <c r="F236" i="20"/>
  <c r="E236" i="20"/>
  <c r="D236" i="20"/>
  <c r="C236" i="20"/>
  <c r="Z235" i="20"/>
  <c r="G235" i="20"/>
  <c r="F235" i="20"/>
  <c r="E235" i="20"/>
  <c r="D235" i="20"/>
  <c r="C235" i="20"/>
  <c r="Z234" i="20"/>
  <c r="G234" i="20"/>
  <c r="F234" i="20"/>
  <c r="C234" i="20" s="1"/>
  <c r="E234" i="20"/>
  <c r="D234" i="20"/>
  <c r="Z233" i="20"/>
  <c r="AA233" i="20" s="1"/>
  <c r="G233" i="20"/>
  <c r="F233" i="20"/>
  <c r="C233" i="20" s="1"/>
  <c r="E233" i="20"/>
  <c r="D233" i="20"/>
  <c r="Z232" i="20"/>
  <c r="AA232" i="20" s="1"/>
  <c r="G232" i="20"/>
  <c r="F232" i="20"/>
  <c r="E232" i="20"/>
  <c r="D232" i="20"/>
  <c r="C232" i="20"/>
  <c r="Z231" i="20"/>
  <c r="G231" i="20"/>
  <c r="F231" i="20"/>
  <c r="C231" i="20" s="1"/>
  <c r="E231" i="20"/>
  <c r="D231" i="20"/>
  <c r="Z230" i="20"/>
  <c r="G230" i="20"/>
  <c r="F230" i="20"/>
  <c r="E230" i="20"/>
  <c r="D230" i="20"/>
  <c r="C230" i="20"/>
  <c r="Z229" i="20"/>
  <c r="G229" i="20"/>
  <c r="F229" i="20"/>
  <c r="C229" i="20" s="1"/>
  <c r="E229" i="20"/>
  <c r="D229" i="20"/>
  <c r="Z228" i="20"/>
  <c r="G228" i="20"/>
  <c r="F228" i="20"/>
  <c r="E228" i="20"/>
  <c r="D228" i="20"/>
  <c r="C228" i="20"/>
  <c r="Z227" i="20"/>
  <c r="G227" i="20"/>
  <c r="F227" i="20"/>
  <c r="E227" i="20"/>
  <c r="D227" i="20"/>
  <c r="C227" i="20"/>
  <c r="Z226" i="20"/>
  <c r="AA226" i="20" s="1"/>
  <c r="G226" i="20"/>
  <c r="F226" i="20"/>
  <c r="C226" i="20" s="1"/>
  <c r="E226" i="20"/>
  <c r="D226" i="20"/>
  <c r="AA225" i="20"/>
  <c r="Z225" i="20"/>
  <c r="G225" i="20"/>
  <c r="F225" i="20"/>
  <c r="C225" i="20" s="1"/>
  <c r="E225" i="20"/>
  <c r="D225" i="20"/>
  <c r="Z224" i="20"/>
  <c r="G224" i="20"/>
  <c r="F224" i="20"/>
  <c r="E224" i="20"/>
  <c r="D224" i="20"/>
  <c r="C224" i="20"/>
  <c r="Z223" i="20"/>
  <c r="AA223" i="20" s="1"/>
  <c r="G223" i="20"/>
  <c r="F223" i="20"/>
  <c r="C223" i="20" s="1"/>
  <c r="E223" i="20"/>
  <c r="D223" i="20"/>
  <c r="Z222" i="20"/>
  <c r="G222" i="20"/>
  <c r="AA222" i="20" s="1"/>
  <c r="F222" i="20"/>
  <c r="E222" i="20"/>
  <c r="D222" i="20"/>
  <c r="C222" i="20"/>
  <c r="Z221" i="20"/>
  <c r="G221" i="20"/>
  <c r="F221" i="20"/>
  <c r="C221" i="20" s="1"/>
  <c r="E221" i="20"/>
  <c r="D221" i="20"/>
  <c r="AA220" i="20"/>
  <c r="Z220" i="20"/>
  <c r="G220" i="20"/>
  <c r="F220" i="20"/>
  <c r="E220" i="20"/>
  <c r="D220" i="20"/>
  <c r="C220" i="20"/>
  <c r="Z219" i="20"/>
  <c r="G219" i="20"/>
  <c r="F219" i="20"/>
  <c r="E219" i="20"/>
  <c r="D219" i="20"/>
  <c r="C219" i="20"/>
  <c r="Z218" i="20"/>
  <c r="G218" i="20"/>
  <c r="F218" i="20"/>
  <c r="C218" i="20" s="1"/>
  <c r="E218" i="20"/>
  <c r="D218" i="20"/>
  <c r="Z217" i="20"/>
  <c r="G217" i="20"/>
  <c r="F217" i="20"/>
  <c r="C217" i="20" s="1"/>
  <c r="E217" i="20"/>
  <c r="D217" i="20"/>
  <c r="Z216" i="20"/>
  <c r="G216" i="20"/>
  <c r="F216" i="20"/>
  <c r="E216" i="20"/>
  <c r="D216" i="20"/>
  <c r="C216" i="20"/>
  <c r="Z215" i="20"/>
  <c r="G215" i="20"/>
  <c r="F215" i="20"/>
  <c r="C215" i="20" s="1"/>
  <c r="E215" i="20"/>
  <c r="D215" i="20"/>
  <c r="Z214" i="20"/>
  <c r="G214" i="20"/>
  <c r="F214" i="20"/>
  <c r="E214" i="20"/>
  <c r="D214" i="20"/>
  <c r="C214" i="20"/>
  <c r="Z213" i="20"/>
  <c r="AA213" i="20" s="1"/>
  <c r="G213" i="20"/>
  <c r="F213" i="20"/>
  <c r="C213" i="20" s="1"/>
  <c r="E213" i="20"/>
  <c r="D213" i="20"/>
  <c r="Z212" i="20"/>
  <c r="G212" i="20"/>
  <c r="F212" i="20"/>
  <c r="E212" i="20"/>
  <c r="D212" i="20"/>
  <c r="C212" i="20"/>
  <c r="Z211" i="20"/>
  <c r="G211" i="20"/>
  <c r="F211" i="20"/>
  <c r="E211" i="20"/>
  <c r="D211" i="20"/>
  <c r="C211" i="20"/>
  <c r="Z210" i="20"/>
  <c r="AA210" i="20" s="1"/>
  <c r="G210" i="20"/>
  <c r="F210" i="20"/>
  <c r="C210" i="20" s="1"/>
  <c r="E210" i="20"/>
  <c r="D210" i="20"/>
  <c r="Z209" i="20"/>
  <c r="AA209" i="20" s="1"/>
  <c r="G209" i="20"/>
  <c r="F209" i="20"/>
  <c r="C209" i="20" s="1"/>
  <c r="E209" i="20"/>
  <c r="D209" i="20"/>
  <c r="Z208" i="20"/>
  <c r="G208" i="20"/>
  <c r="F208" i="20"/>
  <c r="E208" i="20"/>
  <c r="D208" i="20"/>
  <c r="C208" i="20"/>
  <c r="Z207" i="20"/>
  <c r="G207" i="20"/>
  <c r="F207" i="20"/>
  <c r="C207" i="20" s="1"/>
  <c r="E207" i="20"/>
  <c r="D207" i="20"/>
  <c r="Z206" i="20"/>
  <c r="G206" i="20"/>
  <c r="F206" i="20"/>
  <c r="E206" i="20"/>
  <c r="D206" i="20"/>
  <c r="C206" i="20"/>
  <c r="Z205" i="20"/>
  <c r="G205" i="20"/>
  <c r="F205" i="20"/>
  <c r="C205" i="20" s="1"/>
  <c r="E205" i="20"/>
  <c r="D205" i="20"/>
  <c r="Z204" i="20"/>
  <c r="AA204" i="20" s="1"/>
  <c r="G204" i="20"/>
  <c r="F204" i="20"/>
  <c r="C204" i="20" s="1"/>
  <c r="E204" i="20"/>
  <c r="D204" i="20"/>
  <c r="Z203" i="20"/>
  <c r="G203" i="20"/>
  <c r="F203" i="20"/>
  <c r="E203" i="20"/>
  <c r="D203" i="20"/>
  <c r="C203" i="20"/>
  <c r="Z202" i="20"/>
  <c r="G202" i="20"/>
  <c r="F202" i="20"/>
  <c r="C202" i="20" s="1"/>
  <c r="E202" i="20"/>
  <c r="D202" i="20"/>
  <c r="Z201" i="20"/>
  <c r="AA201" i="20" s="1"/>
  <c r="G201" i="20"/>
  <c r="F201" i="20"/>
  <c r="C201" i="20" s="1"/>
  <c r="E201" i="20"/>
  <c r="D201" i="20"/>
  <c r="Z200" i="20"/>
  <c r="G200" i="20"/>
  <c r="F200" i="20"/>
  <c r="C200" i="20" s="1"/>
  <c r="E200" i="20"/>
  <c r="D200" i="20"/>
  <c r="Z199" i="20"/>
  <c r="G199" i="20"/>
  <c r="F199" i="20"/>
  <c r="E199" i="20"/>
  <c r="D199" i="20"/>
  <c r="C199" i="20"/>
  <c r="Z198" i="20"/>
  <c r="AA198" i="20" s="1"/>
  <c r="G198" i="20"/>
  <c r="F198" i="20"/>
  <c r="C198" i="20" s="1"/>
  <c r="E198" i="20"/>
  <c r="D198" i="20"/>
  <c r="Z197" i="20"/>
  <c r="G197" i="20"/>
  <c r="F197" i="20"/>
  <c r="C197" i="20" s="1"/>
  <c r="E197" i="20"/>
  <c r="D197" i="20"/>
  <c r="Z196" i="20"/>
  <c r="G196" i="20"/>
  <c r="F196" i="20"/>
  <c r="C196" i="20" s="1"/>
  <c r="E196" i="20"/>
  <c r="D196" i="20"/>
  <c r="Z195" i="20"/>
  <c r="G195" i="20"/>
  <c r="F195" i="20"/>
  <c r="E195" i="20"/>
  <c r="D195" i="20"/>
  <c r="C195" i="20"/>
  <c r="Z194" i="20"/>
  <c r="G194" i="20"/>
  <c r="F194" i="20"/>
  <c r="C194" i="20" s="1"/>
  <c r="E194" i="20"/>
  <c r="D194" i="20"/>
  <c r="Z193" i="20"/>
  <c r="G193" i="20"/>
  <c r="F193" i="20"/>
  <c r="C193" i="20" s="1"/>
  <c r="E193" i="20"/>
  <c r="D193" i="20"/>
  <c r="Z192" i="20"/>
  <c r="G192" i="20"/>
  <c r="F192" i="20"/>
  <c r="C192" i="20" s="1"/>
  <c r="E192" i="20"/>
  <c r="D192" i="20"/>
  <c r="Z191" i="20"/>
  <c r="AA191" i="20" s="1"/>
  <c r="G191" i="20"/>
  <c r="F191" i="20"/>
  <c r="E191" i="20"/>
  <c r="D191" i="20"/>
  <c r="C191" i="20"/>
  <c r="Z190" i="20"/>
  <c r="G190" i="20"/>
  <c r="F190" i="20"/>
  <c r="C190" i="20" s="1"/>
  <c r="E190" i="20"/>
  <c r="D190" i="20"/>
  <c r="Z189" i="20"/>
  <c r="G189" i="20"/>
  <c r="F189" i="20"/>
  <c r="C189" i="20" s="1"/>
  <c r="E189" i="20"/>
  <c r="D189" i="20"/>
  <c r="Z188" i="20"/>
  <c r="AA188" i="20" s="1"/>
  <c r="G188" i="20"/>
  <c r="F188" i="20"/>
  <c r="C188" i="20" s="1"/>
  <c r="E188" i="20"/>
  <c r="D188" i="20"/>
  <c r="Z187" i="20"/>
  <c r="G187" i="20"/>
  <c r="F187" i="20"/>
  <c r="E187" i="20"/>
  <c r="D187" i="20"/>
  <c r="C187" i="20"/>
  <c r="Z186" i="20"/>
  <c r="G186" i="20"/>
  <c r="F186" i="20"/>
  <c r="C186" i="20" s="1"/>
  <c r="E186" i="20"/>
  <c r="D186" i="20"/>
  <c r="Z185" i="20"/>
  <c r="AA185" i="20" s="1"/>
  <c r="G185" i="20"/>
  <c r="F185" i="20"/>
  <c r="C185" i="20" s="1"/>
  <c r="E185" i="20"/>
  <c r="D185" i="20"/>
  <c r="Z184" i="20"/>
  <c r="G184" i="20"/>
  <c r="F184" i="20"/>
  <c r="C184" i="20" s="1"/>
  <c r="E184" i="20"/>
  <c r="D184" i="20"/>
  <c r="Z183" i="20"/>
  <c r="G183" i="20"/>
  <c r="F183" i="20"/>
  <c r="E183" i="20"/>
  <c r="D183" i="20"/>
  <c r="C183" i="20"/>
  <c r="Z182" i="20"/>
  <c r="AA182" i="20" s="1"/>
  <c r="G182" i="20"/>
  <c r="F182" i="20"/>
  <c r="C182" i="20" s="1"/>
  <c r="E182" i="20"/>
  <c r="D182" i="20"/>
  <c r="Z181" i="20"/>
  <c r="G181" i="20"/>
  <c r="F181" i="20"/>
  <c r="C181" i="20" s="1"/>
  <c r="E181" i="20"/>
  <c r="D181" i="20"/>
  <c r="Z180" i="20"/>
  <c r="G180" i="20"/>
  <c r="F180" i="20"/>
  <c r="C180" i="20" s="1"/>
  <c r="E180" i="20"/>
  <c r="D180" i="20"/>
  <c r="Z179" i="20"/>
  <c r="G179" i="20"/>
  <c r="F179" i="20"/>
  <c r="E179" i="20"/>
  <c r="D179" i="20"/>
  <c r="C179" i="20"/>
  <c r="Z178" i="20"/>
  <c r="G178" i="20"/>
  <c r="F178" i="20"/>
  <c r="C178" i="20" s="1"/>
  <c r="E178" i="20"/>
  <c r="D178" i="20"/>
  <c r="Z177" i="20"/>
  <c r="G177" i="20"/>
  <c r="F177" i="20"/>
  <c r="C177" i="20" s="1"/>
  <c r="E177" i="20"/>
  <c r="D177" i="20"/>
  <c r="Z176" i="20"/>
  <c r="G176" i="20"/>
  <c r="F176" i="20"/>
  <c r="C176" i="20" s="1"/>
  <c r="E176" i="20"/>
  <c r="D176" i="20"/>
  <c r="Z175" i="20"/>
  <c r="G175" i="20"/>
  <c r="F175" i="20"/>
  <c r="E175" i="20"/>
  <c r="D175" i="20"/>
  <c r="C175" i="20"/>
  <c r="Z174" i="20"/>
  <c r="G174" i="20"/>
  <c r="F174" i="20"/>
  <c r="C174" i="20" s="1"/>
  <c r="E174" i="20"/>
  <c r="D174" i="20"/>
  <c r="Z173" i="20"/>
  <c r="G173" i="20"/>
  <c r="F173" i="20"/>
  <c r="C173" i="20" s="1"/>
  <c r="E173" i="20"/>
  <c r="D173" i="20"/>
  <c r="Z172" i="20"/>
  <c r="AA172" i="20" s="1"/>
  <c r="G172" i="20"/>
  <c r="F172" i="20"/>
  <c r="C172" i="20" s="1"/>
  <c r="E172" i="20"/>
  <c r="D172" i="20"/>
  <c r="Z171" i="20"/>
  <c r="G171" i="20"/>
  <c r="F171" i="20"/>
  <c r="E171" i="20"/>
  <c r="D171" i="20"/>
  <c r="C171" i="20"/>
  <c r="Z170" i="20"/>
  <c r="G170" i="20"/>
  <c r="F170" i="20"/>
  <c r="C170" i="20" s="1"/>
  <c r="E170" i="20"/>
  <c r="D170" i="20"/>
  <c r="Z169" i="20"/>
  <c r="AA169" i="20" s="1"/>
  <c r="G169" i="20"/>
  <c r="F169" i="20"/>
  <c r="C169" i="20" s="1"/>
  <c r="E169" i="20"/>
  <c r="D169" i="20"/>
  <c r="Z168" i="20"/>
  <c r="G168" i="20"/>
  <c r="F168" i="20"/>
  <c r="C168" i="20" s="1"/>
  <c r="E168" i="20"/>
  <c r="D168" i="20"/>
  <c r="Z167" i="20"/>
  <c r="G167" i="20"/>
  <c r="F167" i="20"/>
  <c r="E167" i="20"/>
  <c r="D167" i="20"/>
  <c r="C167" i="20"/>
  <c r="Z166" i="20"/>
  <c r="G166" i="20"/>
  <c r="F166" i="20"/>
  <c r="C166" i="20" s="1"/>
  <c r="E166" i="20"/>
  <c r="D166" i="20"/>
  <c r="Z165" i="20"/>
  <c r="G165" i="20"/>
  <c r="F165" i="20"/>
  <c r="C165" i="20" s="1"/>
  <c r="E165" i="20"/>
  <c r="D165" i="20"/>
  <c r="Z164" i="20"/>
  <c r="G164" i="20"/>
  <c r="F164" i="20"/>
  <c r="C164" i="20" s="1"/>
  <c r="E164" i="20"/>
  <c r="D164" i="20"/>
  <c r="Z163" i="20"/>
  <c r="G163" i="20"/>
  <c r="F163" i="20"/>
  <c r="E163" i="20"/>
  <c r="D163" i="20"/>
  <c r="C163" i="20"/>
  <c r="Z162" i="20"/>
  <c r="G162" i="20"/>
  <c r="F162" i="20"/>
  <c r="E162" i="20"/>
  <c r="D162" i="20"/>
  <c r="C162" i="20"/>
  <c r="Z161" i="20"/>
  <c r="AA161" i="20" s="1"/>
  <c r="G161" i="20"/>
  <c r="F161" i="20"/>
  <c r="C161" i="20" s="1"/>
  <c r="E161" i="20"/>
  <c r="D161" i="20"/>
  <c r="Z160" i="20"/>
  <c r="G160" i="20"/>
  <c r="F160" i="20"/>
  <c r="C160" i="20" s="1"/>
  <c r="E160" i="20"/>
  <c r="D160" i="20"/>
  <c r="Z159" i="20"/>
  <c r="G159" i="20"/>
  <c r="F159" i="20"/>
  <c r="E159" i="20"/>
  <c r="D159" i="20"/>
  <c r="C159" i="20"/>
  <c r="Z158" i="20"/>
  <c r="G158" i="20"/>
  <c r="F158" i="20"/>
  <c r="E158" i="20"/>
  <c r="D158" i="20"/>
  <c r="C158" i="20"/>
  <c r="Z157" i="20"/>
  <c r="G157" i="20"/>
  <c r="F157" i="20"/>
  <c r="C157" i="20" s="1"/>
  <c r="E157" i="20"/>
  <c r="D157" i="20"/>
  <c r="Z156" i="20"/>
  <c r="G156" i="20"/>
  <c r="F156" i="20"/>
  <c r="C156" i="20" s="1"/>
  <c r="E156" i="20"/>
  <c r="D156" i="20"/>
  <c r="Z155" i="20"/>
  <c r="G155" i="20"/>
  <c r="F155" i="20"/>
  <c r="E155" i="20"/>
  <c r="D155" i="20"/>
  <c r="C155" i="20"/>
  <c r="Z154" i="20"/>
  <c r="G154" i="20"/>
  <c r="F154" i="20"/>
  <c r="E154" i="20"/>
  <c r="D154" i="20"/>
  <c r="C154" i="20"/>
  <c r="AA153" i="20"/>
  <c r="Z153" i="20"/>
  <c r="G153" i="20"/>
  <c r="F153" i="20"/>
  <c r="C153" i="20" s="1"/>
  <c r="E153" i="20"/>
  <c r="D153" i="20"/>
  <c r="Z152" i="20"/>
  <c r="G152" i="20"/>
  <c r="F152" i="20"/>
  <c r="C152" i="20" s="1"/>
  <c r="E152" i="20"/>
  <c r="D152" i="20"/>
  <c r="Z151" i="20"/>
  <c r="G151" i="20"/>
  <c r="F151" i="20"/>
  <c r="E151" i="20"/>
  <c r="D151" i="20"/>
  <c r="C151" i="20"/>
  <c r="Z150" i="20"/>
  <c r="G150" i="20"/>
  <c r="F150" i="20"/>
  <c r="E150" i="20"/>
  <c r="D150" i="20"/>
  <c r="C150" i="20"/>
  <c r="Z149" i="20"/>
  <c r="G149" i="20"/>
  <c r="F149" i="20"/>
  <c r="C149" i="20" s="1"/>
  <c r="E149" i="20"/>
  <c r="D149" i="20"/>
  <c r="Z148" i="20"/>
  <c r="AA148" i="20" s="1"/>
  <c r="G148" i="20"/>
  <c r="F148" i="20"/>
  <c r="C148" i="20" s="1"/>
  <c r="E148" i="20"/>
  <c r="D148" i="20"/>
  <c r="Z147" i="20"/>
  <c r="G147" i="20"/>
  <c r="F147" i="20"/>
  <c r="E147" i="20"/>
  <c r="D147" i="20"/>
  <c r="C147" i="20"/>
  <c r="Z146" i="20"/>
  <c r="G146" i="20"/>
  <c r="F146" i="20"/>
  <c r="E146" i="20"/>
  <c r="D146" i="20"/>
  <c r="C146" i="20"/>
  <c r="Z145" i="20"/>
  <c r="AA145" i="20" s="1"/>
  <c r="G145" i="20"/>
  <c r="F145" i="20"/>
  <c r="C145" i="20" s="1"/>
  <c r="E145" i="20"/>
  <c r="D145" i="20"/>
  <c r="Z144" i="20"/>
  <c r="G144" i="20"/>
  <c r="F144" i="20"/>
  <c r="C144" i="20" s="1"/>
  <c r="E144" i="20"/>
  <c r="D144" i="20"/>
  <c r="Z143" i="20"/>
  <c r="G143" i="20"/>
  <c r="F143" i="20"/>
  <c r="E143" i="20"/>
  <c r="D143" i="20"/>
  <c r="C143" i="20"/>
  <c r="Z142" i="20"/>
  <c r="G142" i="20"/>
  <c r="F142" i="20"/>
  <c r="E142" i="20"/>
  <c r="D142" i="20"/>
  <c r="C142" i="20"/>
  <c r="Z141" i="20"/>
  <c r="AA141" i="20" s="1"/>
  <c r="G141" i="20"/>
  <c r="F141" i="20"/>
  <c r="C141" i="20" s="1"/>
  <c r="E141" i="20"/>
  <c r="D141" i="20"/>
  <c r="Z140" i="20"/>
  <c r="G140" i="20"/>
  <c r="F140" i="20"/>
  <c r="C140" i="20" s="1"/>
  <c r="E140" i="20"/>
  <c r="D140" i="20"/>
  <c r="Z139" i="20"/>
  <c r="G139" i="20"/>
  <c r="F139" i="20"/>
  <c r="E139" i="20"/>
  <c r="D139" i="20"/>
  <c r="C139" i="20"/>
  <c r="Z138" i="20"/>
  <c r="G138" i="20"/>
  <c r="F138" i="20"/>
  <c r="E138" i="20"/>
  <c r="D138" i="20"/>
  <c r="C138" i="20"/>
  <c r="Z137" i="20"/>
  <c r="AA137" i="20" s="1"/>
  <c r="G137" i="20"/>
  <c r="F137" i="20"/>
  <c r="C137" i="20" s="1"/>
  <c r="E137" i="20"/>
  <c r="D137" i="20"/>
  <c r="Z136" i="20"/>
  <c r="AA136" i="20" s="1"/>
  <c r="G136" i="20"/>
  <c r="F136" i="20"/>
  <c r="C136" i="20" s="1"/>
  <c r="E136" i="20"/>
  <c r="D136" i="20"/>
  <c r="Z135" i="20"/>
  <c r="G135" i="20"/>
  <c r="F135" i="20"/>
  <c r="E135" i="20"/>
  <c r="D135" i="20"/>
  <c r="C135" i="20"/>
  <c r="Z134" i="20"/>
  <c r="G134" i="20"/>
  <c r="F134" i="20"/>
  <c r="E134" i="20"/>
  <c r="D134" i="20"/>
  <c r="C134" i="20"/>
  <c r="Z133" i="20"/>
  <c r="G133" i="20"/>
  <c r="F133" i="20"/>
  <c r="C133" i="20" s="1"/>
  <c r="E133" i="20"/>
  <c r="D133" i="20"/>
  <c r="Z132" i="20"/>
  <c r="G132" i="20"/>
  <c r="F132" i="20"/>
  <c r="C132" i="20" s="1"/>
  <c r="E132" i="20"/>
  <c r="D132" i="20"/>
  <c r="Z131" i="20"/>
  <c r="G131" i="20"/>
  <c r="F131" i="20"/>
  <c r="E131" i="20"/>
  <c r="D131" i="20"/>
  <c r="C131" i="20"/>
  <c r="Z130" i="20"/>
  <c r="G130" i="20"/>
  <c r="F130" i="20"/>
  <c r="E130" i="20"/>
  <c r="D130" i="20"/>
  <c r="C130" i="20"/>
  <c r="Z129" i="20"/>
  <c r="AA129" i="20" s="1"/>
  <c r="G129" i="20"/>
  <c r="F129" i="20"/>
  <c r="C129" i="20" s="1"/>
  <c r="E129" i="20"/>
  <c r="D129" i="20"/>
  <c r="Z128" i="20"/>
  <c r="G128" i="20"/>
  <c r="F128" i="20"/>
  <c r="C128" i="20" s="1"/>
  <c r="E128" i="20"/>
  <c r="D128" i="20"/>
  <c r="Z127" i="20"/>
  <c r="G127" i="20"/>
  <c r="F127" i="20"/>
  <c r="E127" i="20"/>
  <c r="D127" i="20"/>
  <c r="C127" i="20"/>
  <c r="Z126" i="20"/>
  <c r="G126" i="20"/>
  <c r="F126" i="20"/>
  <c r="E126" i="20"/>
  <c r="D126" i="20"/>
  <c r="C126" i="20"/>
  <c r="Z125" i="20"/>
  <c r="G125" i="20"/>
  <c r="F125" i="20"/>
  <c r="C125" i="20" s="1"/>
  <c r="E125" i="20"/>
  <c r="D125" i="20"/>
  <c r="Z124" i="20"/>
  <c r="G124" i="20"/>
  <c r="F124" i="20"/>
  <c r="C124" i="20" s="1"/>
  <c r="E124" i="20"/>
  <c r="D124" i="20"/>
  <c r="Z123" i="20"/>
  <c r="G123" i="20"/>
  <c r="F123" i="20"/>
  <c r="E123" i="20"/>
  <c r="D123" i="20"/>
  <c r="C123" i="20"/>
  <c r="Z122" i="20"/>
  <c r="G122" i="20"/>
  <c r="F122" i="20"/>
  <c r="E122" i="20"/>
  <c r="D122" i="20"/>
  <c r="C122" i="20"/>
  <c r="AA121" i="20"/>
  <c r="Z121" i="20"/>
  <c r="G121" i="20"/>
  <c r="F121" i="20"/>
  <c r="C121" i="20" s="1"/>
  <c r="E121" i="20"/>
  <c r="D121" i="20"/>
  <c r="Z120" i="20"/>
  <c r="G120" i="20"/>
  <c r="F120" i="20"/>
  <c r="C120" i="20" s="1"/>
  <c r="E120" i="20"/>
  <c r="D120" i="20"/>
  <c r="Z119" i="20"/>
  <c r="G119" i="20"/>
  <c r="F119" i="20"/>
  <c r="E119" i="20"/>
  <c r="D119" i="20"/>
  <c r="C119" i="20"/>
  <c r="Z118" i="20"/>
  <c r="G118" i="20"/>
  <c r="F118" i="20"/>
  <c r="E118" i="20"/>
  <c r="D118" i="20"/>
  <c r="C118" i="20"/>
  <c r="Z117" i="20"/>
  <c r="G117" i="20"/>
  <c r="F117" i="20"/>
  <c r="C117" i="20" s="1"/>
  <c r="E117" i="20"/>
  <c r="D117" i="20"/>
  <c r="Z116" i="20"/>
  <c r="AA116" i="20" s="1"/>
  <c r="G116" i="20"/>
  <c r="F116" i="20"/>
  <c r="C116" i="20" s="1"/>
  <c r="E116" i="20"/>
  <c r="D116" i="20"/>
  <c r="Z115" i="20"/>
  <c r="G115" i="20"/>
  <c r="F115" i="20"/>
  <c r="E115" i="20"/>
  <c r="D115" i="20"/>
  <c r="C115" i="20"/>
  <c r="Z114" i="20"/>
  <c r="G114" i="20"/>
  <c r="F114" i="20"/>
  <c r="E114" i="20"/>
  <c r="D114" i="20"/>
  <c r="C114" i="20"/>
  <c r="Z113" i="20"/>
  <c r="AA113" i="20" s="1"/>
  <c r="G113" i="20"/>
  <c r="F113" i="20"/>
  <c r="C113" i="20" s="1"/>
  <c r="E113" i="20"/>
  <c r="D113" i="20"/>
  <c r="Z112" i="20"/>
  <c r="G112" i="20"/>
  <c r="F112" i="20"/>
  <c r="C112" i="20" s="1"/>
  <c r="E112" i="20"/>
  <c r="D112" i="20"/>
  <c r="Z111" i="20"/>
  <c r="G111" i="20"/>
  <c r="F111" i="20"/>
  <c r="E111" i="20"/>
  <c r="D111" i="20"/>
  <c r="C111" i="20"/>
  <c r="Z110" i="20"/>
  <c r="G110" i="20"/>
  <c r="F110" i="20"/>
  <c r="E110" i="20"/>
  <c r="D110" i="20"/>
  <c r="C110" i="20"/>
  <c r="Z109" i="20"/>
  <c r="AA109" i="20" s="1"/>
  <c r="G109" i="20"/>
  <c r="F109" i="20"/>
  <c r="C109" i="20" s="1"/>
  <c r="E109" i="20"/>
  <c r="D109" i="20"/>
  <c r="Z108" i="20"/>
  <c r="G108" i="20"/>
  <c r="F108" i="20"/>
  <c r="C108" i="20" s="1"/>
  <c r="E108" i="20"/>
  <c r="D108" i="20"/>
  <c r="Z107" i="20"/>
  <c r="G107" i="20"/>
  <c r="F107" i="20"/>
  <c r="E107" i="20"/>
  <c r="D107" i="20"/>
  <c r="C107" i="20"/>
  <c r="Z106" i="20"/>
  <c r="G106" i="20"/>
  <c r="F106" i="20"/>
  <c r="E106" i="20"/>
  <c r="D106" i="20"/>
  <c r="C106" i="20"/>
  <c r="Z105" i="20"/>
  <c r="AA105" i="20" s="1"/>
  <c r="G105" i="20"/>
  <c r="F105" i="20"/>
  <c r="C105" i="20" s="1"/>
  <c r="E105" i="20"/>
  <c r="D105" i="20"/>
  <c r="Z104" i="20"/>
  <c r="AA104" i="20" s="1"/>
  <c r="G104" i="20"/>
  <c r="F104" i="20"/>
  <c r="C104" i="20" s="1"/>
  <c r="E104" i="20"/>
  <c r="D104" i="20"/>
  <c r="Z103" i="20"/>
  <c r="G103" i="20"/>
  <c r="F103" i="20"/>
  <c r="E103" i="20"/>
  <c r="D103" i="20"/>
  <c r="C103" i="20"/>
  <c r="Z102" i="20"/>
  <c r="G102" i="20"/>
  <c r="F102" i="20"/>
  <c r="E102" i="20"/>
  <c r="D102" i="20"/>
  <c r="C102" i="20"/>
  <c r="Z101" i="20"/>
  <c r="G101" i="20"/>
  <c r="F101" i="20"/>
  <c r="C101" i="20" s="1"/>
  <c r="E101" i="20"/>
  <c r="D101" i="20"/>
  <c r="Z100" i="20"/>
  <c r="G100" i="20"/>
  <c r="F100" i="20"/>
  <c r="C100" i="20" s="1"/>
  <c r="E100" i="20"/>
  <c r="D100" i="20"/>
  <c r="Z99" i="20"/>
  <c r="G99" i="20"/>
  <c r="F99" i="20"/>
  <c r="E99" i="20"/>
  <c r="D99" i="20"/>
  <c r="C99" i="20"/>
  <c r="Z98" i="20"/>
  <c r="G98" i="20"/>
  <c r="F98" i="20"/>
  <c r="E98" i="20"/>
  <c r="D98" i="20"/>
  <c r="C98" i="20"/>
  <c r="Z97" i="20"/>
  <c r="AA97" i="20" s="1"/>
  <c r="G97" i="20"/>
  <c r="F97" i="20"/>
  <c r="C97" i="20" s="1"/>
  <c r="E97" i="20"/>
  <c r="D97" i="20"/>
  <c r="Z96" i="20"/>
  <c r="G96" i="20"/>
  <c r="F96" i="20"/>
  <c r="C96" i="20" s="1"/>
  <c r="E96" i="20"/>
  <c r="D96" i="20"/>
  <c r="Z95" i="20"/>
  <c r="G95" i="20"/>
  <c r="F95" i="20"/>
  <c r="E95" i="20"/>
  <c r="D95" i="20"/>
  <c r="C95" i="20"/>
  <c r="Z94" i="20"/>
  <c r="G94" i="20"/>
  <c r="F94" i="20"/>
  <c r="E94" i="20"/>
  <c r="D94" i="20"/>
  <c r="C94" i="20"/>
  <c r="Z93" i="20"/>
  <c r="G93" i="20"/>
  <c r="F93" i="20"/>
  <c r="C93" i="20" s="1"/>
  <c r="E93" i="20"/>
  <c r="D93" i="20"/>
  <c r="Z92" i="20"/>
  <c r="G92" i="20"/>
  <c r="F92" i="20"/>
  <c r="C92" i="20" s="1"/>
  <c r="E92" i="20"/>
  <c r="D92" i="20"/>
  <c r="Z91" i="20"/>
  <c r="G91" i="20"/>
  <c r="F91" i="20"/>
  <c r="E91" i="20"/>
  <c r="D91" i="20"/>
  <c r="C91" i="20"/>
  <c r="Z90" i="20"/>
  <c r="G90" i="20"/>
  <c r="F90" i="20"/>
  <c r="E90" i="20"/>
  <c r="D90" i="20"/>
  <c r="C90" i="20"/>
  <c r="AA89" i="20"/>
  <c r="Z89" i="20"/>
  <c r="G89" i="20"/>
  <c r="F89" i="20"/>
  <c r="C89" i="20" s="1"/>
  <c r="E89" i="20"/>
  <c r="D89" i="20"/>
  <c r="Z88" i="20"/>
  <c r="G88" i="20"/>
  <c r="F88" i="20"/>
  <c r="C88" i="20" s="1"/>
  <c r="E88" i="20"/>
  <c r="D88" i="20"/>
  <c r="Z87" i="20"/>
  <c r="G87" i="20"/>
  <c r="F87" i="20"/>
  <c r="E87" i="20"/>
  <c r="D87" i="20"/>
  <c r="C87" i="20"/>
  <c r="Z86" i="20"/>
  <c r="G86" i="20"/>
  <c r="F86" i="20"/>
  <c r="E86" i="20"/>
  <c r="D86" i="20"/>
  <c r="C86" i="20"/>
  <c r="Z85" i="20"/>
  <c r="G85" i="20"/>
  <c r="F85" i="20"/>
  <c r="C85" i="20" s="1"/>
  <c r="E85" i="20"/>
  <c r="D85" i="20"/>
  <c r="Z84" i="20"/>
  <c r="AA84" i="20" s="1"/>
  <c r="G84" i="20"/>
  <c r="F84" i="20"/>
  <c r="C84" i="20" s="1"/>
  <c r="E84" i="20"/>
  <c r="D84" i="20"/>
  <c r="Z83" i="20"/>
  <c r="G83" i="20"/>
  <c r="F83" i="20"/>
  <c r="E83" i="20"/>
  <c r="D83" i="20"/>
  <c r="C83" i="20"/>
  <c r="Z82" i="20"/>
  <c r="G82" i="20"/>
  <c r="F82" i="20"/>
  <c r="E82" i="20"/>
  <c r="D82" i="20"/>
  <c r="C82" i="20"/>
  <c r="Z81" i="20"/>
  <c r="AA81" i="20" s="1"/>
  <c r="G81" i="20"/>
  <c r="F81" i="20"/>
  <c r="C81" i="20" s="1"/>
  <c r="E81" i="20"/>
  <c r="D81" i="20"/>
  <c r="Z80" i="20"/>
  <c r="G80" i="20"/>
  <c r="F80" i="20"/>
  <c r="C80" i="20" s="1"/>
  <c r="E80" i="20"/>
  <c r="D80" i="20"/>
  <c r="Z79" i="20"/>
  <c r="G79" i="20"/>
  <c r="F79" i="20"/>
  <c r="E79" i="20"/>
  <c r="D79" i="20"/>
  <c r="C79" i="20"/>
  <c r="Z78" i="20"/>
  <c r="G78" i="20"/>
  <c r="F78" i="20"/>
  <c r="E78" i="20"/>
  <c r="D78" i="20"/>
  <c r="C78" i="20"/>
  <c r="Z77" i="20"/>
  <c r="AA77" i="20" s="1"/>
  <c r="G77" i="20"/>
  <c r="F77" i="20"/>
  <c r="C77" i="20" s="1"/>
  <c r="E77" i="20"/>
  <c r="D77" i="20"/>
  <c r="Z76" i="20"/>
  <c r="G76" i="20"/>
  <c r="F76" i="20"/>
  <c r="C76" i="20" s="1"/>
  <c r="E76" i="20"/>
  <c r="D76" i="20"/>
  <c r="Z75" i="20"/>
  <c r="G75" i="20"/>
  <c r="F75" i="20"/>
  <c r="E75" i="20"/>
  <c r="D75" i="20"/>
  <c r="C75" i="20"/>
  <c r="Z74" i="20"/>
  <c r="G74" i="20"/>
  <c r="F74" i="20"/>
  <c r="E74" i="20"/>
  <c r="D74" i="20"/>
  <c r="C74" i="20"/>
  <c r="Z73" i="20"/>
  <c r="AA73" i="20" s="1"/>
  <c r="G73" i="20"/>
  <c r="F73" i="20"/>
  <c r="C73" i="20" s="1"/>
  <c r="E73" i="20"/>
  <c r="D73" i="20"/>
  <c r="AA72" i="20"/>
  <c r="Z72" i="20"/>
  <c r="G72" i="20"/>
  <c r="F72" i="20"/>
  <c r="C72" i="20" s="1"/>
  <c r="E72" i="20"/>
  <c r="D72" i="20"/>
  <c r="Z71" i="20"/>
  <c r="AA71" i="20" s="1"/>
  <c r="G71" i="20"/>
  <c r="F71" i="20"/>
  <c r="E71" i="20"/>
  <c r="D71" i="20"/>
  <c r="C71" i="20"/>
  <c r="Z70" i="20"/>
  <c r="G70" i="20"/>
  <c r="F70" i="20"/>
  <c r="E70" i="20"/>
  <c r="D70" i="20"/>
  <c r="C70" i="20"/>
  <c r="Z69" i="20"/>
  <c r="G69" i="20"/>
  <c r="AA69" i="20" s="1"/>
  <c r="F69" i="20"/>
  <c r="C69" i="20" s="1"/>
  <c r="E69" i="20"/>
  <c r="D69" i="20"/>
  <c r="AA68" i="20"/>
  <c r="Z68" i="20"/>
  <c r="G68" i="20"/>
  <c r="F68" i="20"/>
  <c r="C68" i="20" s="1"/>
  <c r="E68" i="20"/>
  <c r="D68" i="20"/>
  <c r="Z67" i="20"/>
  <c r="G67" i="20"/>
  <c r="F67" i="20"/>
  <c r="E67" i="20"/>
  <c r="D67" i="20"/>
  <c r="C67" i="20"/>
  <c r="Z66" i="20"/>
  <c r="G66" i="20"/>
  <c r="F66" i="20"/>
  <c r="E66" i="20"/>
  <c r="D66" i="20"/>
  <c r="C66" i="20"/>
  <c r="Z65" i="20"/>
  <c r="AA65" i="20" s="1"/>
  <c r="G65" i="20"/>
  <c r="F65" i="20"/>
  <c r="C65" i="20" s="1"/>
  <c r="E65" i="20"/>
  <c r="D65" i="20"/>
  <c r="AA64" i="20"/>
  <c r="Z64" i="20"/>
  <c r="G64" i="20"/>
  <c r="F64" i="20"/>
  <c r="C64" i="20" s="1"/>
  <c r="E64" i="20"/>
  <c r="D64" i="20"/>
  <c r="Z63" i="20"/>
  <c r="AA63" i="20" s="1"/>
  <c r="G63" i="20"/>
  <c r="F63" i="20"/>
  <c r="E63" i="20"/>
  <c r="D63" i="20"/>
  <c r="C63" i="20"/>
  <c r="Z62" i="20"/>
  <c r="G62" i="20"/>
  <c r="F62" i="20"/>
  <c r="E62" i="20"/>
  <c r="D62" i="20"/>
  <c r="C62" i="20"/>
  <c r="Z61" i="20"/>
  <c r="G61" i="20"/>
  <c r="AA61" i="20" s="1"/>
  <c r="F61" i="20"/>
  <c r="C61" i="20" s="1"/>
  <c r="E61" i="20"/>
  <c r="D61" i="20"/>
  <c r="AA60" i="20"/>
  <c r="Z60" i="20"/>
  <c r="G60" i="20"/>
  <c r="F60" i="20"/>
  <c r="C60" i="20" s="1"/>
  <c r="E60" i="20"/>
  <c r="D60" i="20"/>
  <c r="Z59" i="20"/>
  <c r="G59" i="20"/>
  <c r="F59" i="20"/>
  <c r="E59" i="20"/>
  <c r="D59" i="20"/>
  <c r="C59" i="20"/>
  <c r="Z58" i="20"/>
  <c r="G58" i="20"/>
  <c r="F58" i="20"/>
  <c r="E58" i="20"/>
  <c r="D58" i="20"/>
  <c r="C58" i="20"/>
  <c r="Z57" i="20"/>
  <c r="AA57" i="20" s="1"/>
  <c r="G57" i="20"/>
  <c r="F57" i="20"/>
  <c r="C57" i="20" s="1"/>
  <c r="E57" i="20"/>
  <c r="D57" i="20"/>
  <c r="AA56" i="20"/>
  <c r="Z56" i="20"/>
  <c r="G56" i="20"/>
  <c r="F56" i="20"/>
  <c r="C56" i="20" s="1"/>
  <c r="E56" i="20"/>
  <c r="D56" i="20"/>
  <c r="Z55" i="20"/>
  <c r="AA55" i="20" s="1"/>
  <c r="G55" i="20"/>
  <c r="F55" i="20"/>
  <c r="E55" i="20"/>
  <c r="D55" i="20"/>
  <c r="C55" i="20"/>
  <c r="Z54" i="20"/>
  <c r="G54" i="20"/>
  <c r="F54" i="20"/>
  <c r="E54" i="20"/>
  <c r="D54" i="20"/>
  <c r="C54" i="20"/>
  <c r="Z53" i="20"/>
  <c r="G53" i="20"/>
  <c r="AA53" i="20" s="1"/>
  <c r="F53" i="20"/>
  <c r="C53" i="20" s="1"/>
  <c r="E53" i="20"/>
  <c r="D53" i="20"/>
  <c r="AA52" i="20"/>
  <c r="Z52" i="20"/>
  <c r="G52" i="20"/>
  <c r="F52" i="20"/>
  <c r="C52" i="20" s="1"/>
  <c r="E52" i="20"/>
  <c r="D52" i="20"/>
  <c r="Z51" i="20"/>
  <c r="G51" i="20"/>
  <c r="F51" i="20"/>
  <c r="E51" i="20"/>
  <c r="D51" i="20"/>
  <c r="C51" i="20"/>
  <c r="Z50" i="20"/>
  <c r="G50" i="20"/>
  <c r="F50" i="20"/>
  <c r="E50" i="20"/>
  <c r="D50" i="20"/>
  <c r="C50" i="20"/>
  <c r="Z49" i="20"/>
  <c r="AA49" i="20" s="1"/>
  <c r="G49" i="20"/>
  <c r="F49" i="20"/>
  <c r="C49" i="20" s="1"/>
  <c r="E49" i="20"/>
  <c r="D49" i="20"/>
  <c r="AA48" i="20"/>
  <c r="Z48" i="20"/>
  <c r="G48" i="20"/>
  <c r="F48" i="20"/>
  <c r="C48" i="20" s="1"/>
  <c r="E48" i="20"/>
  <c r="D48" i="20"/>
  <c r="Z47" i="20"/>
  <c r="AA47" i="20" s="1"/>
  <c r="G47" i="20"/>
  <c r="F47" i="20"/>
  <c r="E47" i="20"/>
  <c r="D47" i="20"/>
  <c r="C47" i="20"/>
  <c r="Z46" i="20"/>
  <c r="G46" i="20"/>
  <c r="F46" i="20"/>
  <c r="E46" i="20"/>
  <c r="D46" i="20"/>
  <c r="C46" i="20"/>
  <c r="Z45" i="20"/>
  <c r="G45" i="20"/>
  <c r="AA45" i="20" s="1"/>
  <c r="F45" i="20"/>
  <c r="C45" i="20" s="1"/>
  <c r="E45" i="20"/>
  <c r="D45" i="20"/>
  <c r="AA44" i="20"/>
  <c r="Z44" i="20"/>
  <c r="G44" i="20"/>
  <c r="F44" i="20"/>
  <c r="C44" i="20" s="1"/>
  <c r="E44" i="20"/>
  <c r="D44" i="20"/>
  <c r="Z43" i="20"/>
  <c r="G43" i="20"/>
  <c r="F43" i="20"/>
  <c r="E43" i="20"/>
  <c r="D43" i="20"/>
  <c r="C43" i="20"/>
  <c r="Z42" i="20"/>
  <c r="G42" i="20"/>
  <c r="F42" i="20"/>
  <c r="E42" i="20"/>
  <c r="D42" i="20"/>
  <c r="C42" i="20"/>
  <c r="Z41" i="20"/>
  <c r="AA41" i="20" s="1"/>
  <c r="G41" i="20"/>
  <c r="F41" i="20"/>
  <c r="C41" i="20" s="1"/>
  <c r="E41" i="20"/>
  <c r="D41" i="20"/>
  <c r="AA40" i="20"/>
  <c r="Z40" i="20"/>
  <c r="G40" i="20"/>
  <c r="F40" i="20"/>
  <c r="C40" i="20" s="1"/>
  <c r="E40" i="20"/>
  <c r="D40" i="20"/>
  <c r="Z39" i="20"/>
  <c r="AA39" i="20" s="1"/>
  <c r="G39" i="20"/>
  <c r="F39" i="20"/>
  <c r="E39" i="20"/>
  <c r="D39" i="20"/>
  <c r="C39" i="20"/>
  <c r="Z38" i="20"/>
  <c r="G38" i="20"/>
  <c r="F38" i="20"/>
  <c r="E38" i="20"/>
  <c r="D38" i="20"/>
  <c r="C38" i="20"/>
  <c r="Z37" i="20"/>
  <c r="G37" i="20"/>
  <c r="AA37" i="20" s="1"/>
  <c r="F37" i="20"/>
  <c r="C37" i="20" s="1"/>
  <c r="E37" i="20"/>
  <c r="D37" i="20"/>
  <c r="AA36" i="20"/>
  <c r="Z36" i="20"/>
  <c r="G36" i="20"/>
  <c r="F36" i="20"/>
  <c r="C36" i="20" s="1"/>
  <c r="E36" i="20"/>
  <c r="D36" i="20"/>
  <c r="Z35" i="20"/>
  <c r="G35" i="20"/>
  <c r="F35" i="20"/>
  <c r="E35" i="20"/>
  <c r="D35" i="20"/>
  <c r="C35" i="20"/>
  <c r="Z34" i="20"/>
  <c r="G34" i="20"/>
  <c r="F34" i="20"/>
  <c r="E34" i="20"/>
  <c r="D34" i="20"/>
  <c r="C34" i="20"/>
  <c r="Z33" i="20"/>
  <c r="AA33" i="20" s="1"/>
  <c r="G33" i="20"/>
  <c r="F33" i="20"/>
  <c r="C33" i="20" s="1"/>
  <c r="E33" i="20"/>
  <c r="D33" i="20"/>
  <c r="Z32" i="20"/>
  <c r="G32" i="20"/>
  <c r="F32" i="20"/>
  <c r="E32" i="20"/>
  <c r="D32" i="20"/>
  <c r="C32" i="20"/>
  <c r="Z31" i="20"/>
  <c r="G31" i="20"/>
  <c r="F31" i="20"/>
  <c r="C31" i="20" s="1"/>
  <c r="E31" i="20"/>
  <c r="D31" i="20"/>
  <c r="Z30" i="20"/>
  <c r="G30" i="20"/>
  <c r="F30" i="20"/>
  <c r="E30" i="20"/>
  <c r="D30" i="20"/>
  <c r="C30" i="20"/>
  <c r="Z29" i="20"/>
  <c r="G29" i="20"/>
  <c r="F29" i="20"/>
  <c r="C29" i="20" s="1"/>
  <c r="E29" i="20"/>
  <c r="D29" i="20"/>
  <c r="Z28" i="20"/>
  <c r="G28" i="20"/>
  <c r="F28" i="20"/>
  <c r="E28" i="20"/>
  <c r="D28" i="20"/>
  <c r="C28" i="20"/>
  <c r="Z27" i="20"/>
  <c r="AA27" i="20" s="1"/>
  <c r="G27" i="20"/>
  <c r="F27" i="20"/>
  <c r="C27" i="20" s="1"/>
  <c r="E27" i="20"/>
  <c r="D27" i="20"/>
  <c r="Z26" i="20"/>
  <c r="G26" i="20"/>
  <c r="F26" i="20"/>
  <c r="E26" i="20"/>
  <c r="D26" i="20"/>
  <c r="C26" i="20"/>
  <c r="Z25" i="20"/>
  <c r="G25" i="20"/>
  <c r="F25" i="20"/>
  <c r="C25" i="20" s="1"/>
  <c r="E25" i="20"/>
  <c r="D25" i="20"/>
  <c r="Z24" i="20"/>
  <c r="AA24" i="20" s="1"/>
  <c r="G24" i="20"/>
  <c r="F24" i="20"/>
  <c r="E24" i="20"/>
  <c r="D24" i="20"/>
  <c r="C24" i="20"/>
  <c r="Z23" i="20"/>
  <c r="G23" i="20"/>
  <c r="F23" i="20"/>
  <c r="C23" i="20" s="1"/>
  <c r="E23" i="20"/>
  <c r="D23" i="20"/>
  <c r="Z22" i="20"/>
  <c r="G22" i="20"/>
  <c r="F22" i="20"/>
  <c r="E22" i="20"/>
  <c r="D22" i="20"/>
  <c r="C22" i="20"/>
  <c r="Z21" i="20"/>
  <c r="G21" i="20"/>
  <c r="F21" i="20"/>
  <c r="C21" i="20" s="1"/>
  <c r="E21" i="20"/>
  <c r="D21" i="20"/>
  <c r="Z20" i="20"/>
  <c r="G20" i="20"/>
  <c r="F20" i="20"/>
  <c r="E20" i="20"/>
  <c r="D20" i="20"/>
  <c r="C20" i="20"/>
  <c r="Z19" i="20"/>
  <c r="AA19" i="20" s="1"/>
  <c r="G19" i="20"/>
  <c r="F19" i="20"/>
  <c r="C19" i="20" s="1"/>
  <c r="E19" i="20"/>
  <c r="D19" i="20"/>
  <c r="Z18" i="20"/>
  <c r="G18" i="20"/>
  <c r="F18" i="20"/>
  <c r="E18" i="20"/>
  <c r="D18" i="20"/>
  <c r="C18" i="20"/>
  <c r="Z17" i="20"/>
  <c r="G17" i="20"/>
  <c r="F17" i="20"/>
  <c r="C17" i="20" s="1"/>
  <c r="E17" i="20"/>
  <c r="D17" i="20"/>
  <c r="Z16" i="20"/>
  <c r="AA16" i="20" s="1"/>
  <c r="G16" i="20"/>
  <c r="F16" i="20"/>
  <c r="E16" i="20"/>
  <c r="D16" i="20"/>
  <c r="C16" i="20"/>
  <c r="Z15" i="20"/>
  <c r="G15" i="20"/>
  <c r="F15" i="20"/>
  <c r="C15" i="20" s="1"/>
  <c r="E15" i="20"/>
  <c r="D15" i="20"/>
  <c r="Z14" i="20"/>
  <c r="G14" i="20"/>
  <c r="F14" i="20"/>
  <c r="E14" i="20"/>
  <c r="D14" i="20"/>
  <c r="C14" i="20"/>
  <c r="Z13" i="20"/>
  <c r="G13" i="20"/>
  <c r="F13" i="20"/>
  <c r="C13" i="20" s="1"/>
  <c r="E13" i="20"/>
  <c r="D13" i="20"/>
  <c r="Z12" i="20"/>
  <c r="G12" i="20"/>
  <c r="F12" i="20"/>
  <c r="E12" i="20"/>
  <c r="D12" i="20"/>
  <c r="C12" i="20"/>
  <c r="Z11" i="20"/>
  <c r="AA11" i="20" s="1"/>
  <c r="G11" i="20"/>
  <c r="F11" i="20"/>
  <c r="C11" i="20" s="1"/>
  <c r="E11" i="20"/>
  <c r="D11" i="20"/>
  <c r="Z10" i="20"/>
  <c r="G10" i="20"/>
  <c r="F10" i="20"/>
  <c r="E10" i="20"/>
  <c r="D10" i="20"/>
  <c r="C10" i="20"/>
  <c r="Z9" i="20"/>
  <c r="G9" i="20"/>
  <c r="F9" i="20"/>
  <c r="C9" i="20" s="1"/>
  <c r="E9" i="20"/>
  <c r="D9" i="20"/>
  <c r="Z8" i="20"/>
  <c r="AA8" i="20" s="1"/>
  <c r="G8" i="20"/>
  <c r="F8" i="20"/>
  <c r="E8" i="20"/>
  <c r="D8" i="20"/>
  <c r="C8" i="20"/>
  <c r="Z329" i="19"/>
  <c r="AA329" i="19" s="1"/>
  <c r="Z328" i="19"/>
  <c r="AA328" i="19" s="1"/>
  <c r="AA327" i="19"/>
  <c r="Z327" i="19"/>
  <c r="Z325" i="19"/>
  <c r="AA325" i="19" s="1"/>
  <c r="G325" i="19"/>
  <c r="F325" i="19"/>
  <c r="C325" i="19" s="1"/>
  <c r="E325" i="19"/>
  <c r="D325" i="19"/>
  <c r="Z324" i="19"/>
  <c r="AA324" i="19" s="1"/>
  <c r="G324" i="19"/>
  <c r="F324" i="19"/>
  <c r="C324" i="19" s="1"/>
  <c r="E324" i="19"/>
  <c r="D324" i="19"/>
  <c r="Z323" i="19"/>
  <c r="AA323" i="19" s="1"/>
  <c r="G323" i="19"/>
  <c r="F323" i="19"/>
  <c r="C323" i="19" s="1"/>
  <c r="E323" i="19"/>
  <c r="D323" i="19"/>
  <c r="Z322" i="19"/>
  <c r="G322" i="19"/>
  <c r="F322" i="19"/>
  <c r="E322" i="19"/>
  <c r="D322" i="19"/>
  <c r="C322" i="19"/>
  <c r="Z321" i="19"/>
  <c r="AA321" i="19" s="1"/>
  <c r="G321" i="19"/>
  <c r="F321" i="19"/>
  <c r="C321" i="19" s="1"/>
  <c r="E321" i="19"/>
  <c r="D321" i="19"/>
  <c r="Z320" i="19"/>
  <c r="AA320" i="19" s="1"/>
  <c r="G320" i="19"/>
  <c r="F320" i="19"/>
  <c r="C320" i="19" s="1"/>
  <c r="E320" i="19"/>
  <c r="D320" i="19"/>
  <c r="Z319" i="19"/>
  <c r="G319" i="19"/>
  <c r="F319" i="19"/>
  <c r="C319" i="19" s="1"/>
  <c r="E319" i="19"/>
  <c r="D319" i="19"/>
  <c r="Z318" i="19"/>
  <c r="G318" i="19"/>
  <c r="F318" i="19"/>
  <c r="E318" i="19"/>
  <c r="D318" i="19"/>
  <c r="C318" i="19"/>
  <c r="Z317" i="19"/>
  <c r="AA317" i="19" s="1"/>
  <c r="G317" i="19"/>
  <c r="F317" i="19"/>
  <c r="C317" i="19" s="1"/>
  <c r="E317" i="19"/>
  <c r="D317" i="19"/>
  <c r="Z316" i="19"/>
  <c r="G316" i="19"/>
  <c r="F316" i="19"/>
  <c r="C316" i="19" s="1"/>
  <c r="E316" i="19"/>
  <c r="D316" i="19"/>
  <c r="Z315" i="19"/>
  <c r="AA315" i="19" s="1"/>
  <c r="G315" i="19"/>
  <c r="F315" i="19"/>
  <c r="C315" i="19" s="1"/>
  <c r="E315" i="19"/>
  <c r="D315" i="19"/>
  <c r="Z314" i="19"/>
  <c r="G314" i="19"/>
  <c r="F314" i="19"/>
  <c r="E314" i="19"/>
  <c r="D314" i="19"/>
  <c r="C314" i="19"/>
  <c r="Z313" i="19"/>
  <c r="G313" i="19"/>
  <c r="F313" i="19"/>
  <c r="C313" i="19" s="1"/>
  <c r="E313" i="19"/>
  <c r="D313" i="19"/>
  <c r="Z312" i="19"/>
  <c r="AA312" i="19" s="1"/>
  <c r="G312" i="19"/>
  <c r="F312" i="19"/>
  <c r="C312" i="19" s="1"/>
  <c r="E312" i="19"/>
  <c r="D312" i="19"/>
  <c r="Z311" i="19"/>
  <c r="G311" i="19"/>
  <c r="F311" i="19"/>
  <c r="C311" i="19" s="1"/>
  <c r="E311" i="19"/>
  <c r="D311" i="19"/>
  <c r="Z310" i="19"/>
  <c r="G310" i="19"/>
  <c r="F310" i="19"/>
  <c r="E310" i="19"/>
  <c r="D310" i="19"/>
  <c r="C310" i="19"/>
  <c r="Z309" i="19"/>
  <c r="AA309" i="19" s="1"/>
  <c r="G309" i="19"/>
  <c r="F309" i="19"/>
  <c r="C309" i="19" s="1"/>
  <c r="E309" i="19"/>
  <c r="D309" i="19"/>
  <c r="Z308" i="19"/>
  <c r="AA308" i="19" s="1"/>
  <c r="G308" i="19"/>
  <c r="F308" i="19"/>
  <c r="C308" i="19" s="1"/>
  <c r="E308" i="19"/>
  <c r="D308" i="19"/>
  <c r="Z307" i="19"/>
  <c r="AA307" i="19" s="1"/>
  <c r="G307" i="19"/>
  <c r="F307" i="19"/>
  <c r="C307" i="19" s="1"/>
  <c r="E307" i="19"/>
  <c r="D307" i="19"/>
  <c r="Z306" i="19"/>
  <c r="G306" i="19"/>
  <c r="F306" i="19"/>
  <c r="E306" i="19"/>
  <c r="D306" i="19"/>
  <c r="C306" i="19"/>
  <c r="Z305" i="19"/>
  <c r="AA305" i="19" s="1"/>
  <c r="G305" i="19"/>
  <c r="F305" i="19"/>
  <c r="C305" i="19" s="1"/>
  <c r="E305" i="19"/>
  <c r="D305" i="19"/>
  <c r="Z304" i="19"/>
  <c r="AA304" i="19" s="1"/>
  <c r="G304" i="19"/>
  <c r="F304" i="19"/>
  <c r="C304" i="19" s="1"/>
  <c r="E304" i="19"/>
  <c r="D304" i="19"/>
  <c r="Z303" i="19"/>
  <c r="G303" i="19"/>
  <c r="F303" i="19"/>
  <c r="C303" i="19" s="1"/>
  <c r="E303" i="19"/>
  <c r="D303" i="19"/>
  <c r="Z302" i="19"/>
  <c r="G302" i="19"/>
  <c r="F302" i="19"/>
  <c r="E302" i="19"/>
  <c r="D302" i="19"/>
  <c r="C302" i="19"/>
  <c r="Z301" i="19"/>
  <c r="AA301" i="19" s="1"/>
  <c r="G301" i="19"/>
  <c r="F301" i="19"/>
  <c r="C301" i="19" s="1"/>
  <c r="E301" i="19"/>
  <c r="D301" i="19"/>
  <c r="Z300" i="19"/>
  <c r="G300" i="19"/>
  <c r="F300" i="19"/>
  <c r="C300" i="19" s="1"/>
  <c r="E300" i="19"/>
  <c r="D300" i="19"/>
  <c r="Z299" i="19"/>
  <c r="AA299" i="19" s="1"/>
  <c r="G299" i="19"/>
  <c r="F299" i="19"/>
  <c r="C299" i="19" s="1"/>
  <c r="E299" i="19"/>
  <c r="D299" i="19"/>
  <c r="Z298" i="19"/>
  <c r="G298" i="19"/>
  <c r="F298" i="19"/>
  <c r="E298" i="19"/>
  <c r="D298" i="19"/>
  <c r="C298" i="19"/>
  <c r="Z297" i="19"/>
  <c r="G297" i="19"/>
  <c r="F297" i="19"/>
  <c r="C297" i="19" s="1"/>
  <c r="E297" i="19"/>
  <c r="D297" i="19"/>
  <c r="Z296" i="19"/>
  <c r="AA296" i="19" s="1"/>
  <c r="G296" i="19"/>
  <c r="F296" i="19"/>
  <c r="C296" i="19" s="1"/>
  <c r="E296" i="19"/>
  <c r="D296" i="19"/>
  <c r="Z295" i="19"/>
  <c r="AA295" i="19" s="1"/>
  <c r="G295" i="19"/>
  <c r="F295" i="19"/>
  <c r="C295" i="19" s="1"/>
  <c r="E295" i="19"/>
  <c r="D295" i="19"/>
  <c r="Z294" i="19"/>
  <c r="G294" i="19"/>
  <c r="F294" i="19"/>
  <c r="E294" i="19"/>
  <c r="D294" i="19"/>
  <c r="C294" i="19"/>
  <c r="Z293" i="19"/>
  <c r="AA293" i="19" s="1"/>
  <c r="G293" i="19"/>
  <c r="F293" i="19"/>
  <c r="C293" i="19" s="1"/>
  <c r="E293" i="19"/>
  <c r="D293" i="19"/>
  <c r="Z292" i="19"/>
  <c r="AA292" i="19" s="1"/>
  <c r="G292" i="19"/>
  <c r="F292" i="19"/>
  <c r="C292" i="19" s="1"/>
  <c r="E292" i="19"/>
  <c r="D292" i="19"/>
  <c r="Z291" i="19"/>
  <c r="AA291" i="19" s="1"/>
  <c r="G291" i="19"/>
  <c r="F291" i="19"/>
  <c r="C291" i="19" s="1"/>
  <c r="E291" i="19"/>
  <c r="D291" i="19"/>
  <c r="Z290" i="19"/>
  <c r="G290" i="19"/>
  <c r="F290" i="19"/>
  <c r="E290" i="19"/>
  <c r="D290" i="19"/>
  <c r="C290" i="19"/>
  <c r="Z289" i="19"/>
  <c r="AA289" i="19" s="1"/>
  <c r="G289" i="19"/>
  <c r="F289" i="19"/>
  <c r="C289" i="19" s="1"/>
  <c r="E289" i="19"/>
  <c r="D289" i="19"/>
  <c r="Z288" i="19"/>
  <c r="AA288" i="19" s="1"/>
  <c r="G288" i="19"/>
  <c r="F288" i="19"/>
  <c r="C288" i="19" s="1"/>
  <c r="E288" i="19"/>
  <c r="D288" i="19"/>
  <c r="Z287" i="19"/>
  <c r="G287" i="19"/>
  <c r="F287" i="19"/>
  <c r="C287" i="19" s="1"/>
  <c r="E287" i="19"/>
  <c r="D287" i="19"/>
  <c r="Z286" i="19"/>
  <c r="G286" i="19"/>
  <c r="F286" i="19"/>
  <c r="E286" i="19"/>
  <c r="D286" i="19"/>
  <c r="C286" i="19"/>
  <c r="Z285" i="19"/>
  <c r="AA285" i="19" s="1"/>
  <c r="G285" i="19"/>
  <c r="F285" i="19"/>
  <c r="C285" i="19" s="1"/>
  <c r="E285" i="19"/>
  <c r="D285" i="19"/>
  <c r="Z284" i="19"/>
  <c r="G284" i="19"/>
  <c r="F284" i="19"/>
  <c r="C284" i="19" s="1"/>
  <c r="E284" i="19"/>
  <c r="D284" i="19"/>
  <c r="Z283" i="19"/>
  <c r="AA283" i="19" s="1"/>
  <c r="G283" i="19"/>
  <c r="F283" i="19"/>
  <c r="C283" i="19" s="1"/>
  <c r="E283" i="19"/>
  <c r="D283" i="19"/>
  <c r="Z282" i="19"/>
  <c r="G282" i="19"/>
  <c r="F282" i="19"/>
  <c r="E282" i="19"/>
  <c r="D282" i="19"/>
  <c r="C282" i="19"/>
  <c r="Z281" i="19"/>
  <c r="G281" i="19"/>
  <c r="F281" i="19"/>
  <c r="C281" i="19" s="1"/>
  <c r="E281" i="19"/>
  <c r="D281" i="19"/>
  <c r="Z280" i="19"/>
  <c r="AA280" i="19" s="1"/>
  <c r="G280" i="19"/>
  <c r="F280" i="19"/>
  <c r="C280" i="19" s="1"/>
  <c r="E280" i="19"/>
  <c r="D280" i="19"/>
  <c r="Z279" i="19"/>
  <c r="AA279" i="19" s="1"/>
  <c r="G279" i="19"/>
  <c r="F279" i="19"/>
  <c r="C279" i="19" s="1"/>
  <c r="E279" i="19"/>
  <c r="D279" i="19"/>
  <c r="Z278" i="19"/>
  <c r="G278" i="19"/>
  <c r="F278" i="19"/>
  <c r="E278" i="19"/>
  <c r="D278" i="19"/>
  <c r="C278" i="19"/>
  <c r="Z277" i="19"/>
  <c r="AA277" i="19" s="1"/>
  <c r="G277" i="19"/>
  <c r="F277" i="19"/>
  <c r="C277" i="19" s="1"/>
  <c r="E277" i="19"/>
  <c r="D277" i="19"/>
  <c r="Z276" i="19"/>
  <c r="AA276" i="19" s="1"/>
  <c r="G276" i="19"/>
  <c r="F276" i="19"/>
  <c r="C276" i="19" s="1"/>
  <c r="E276" i="19"/>
  <c r="D276" i="19"/>
  <c r="Z275" i="19"/>
  <c r="AA275" i="19" s="1"/>
  <c r="G275" i="19"/>
  <c r="F275" i="19"/>
  <c r="C275" i="19" s="1"/>
  <c r="E275" i="19"/>
  <c r="D275" i="19"/>
  <c r="Z274" i="19"/>
  <c r="G274" i="19"/>
  <c r="F274" i="19"/>
  <c r="E274" i="19"/>
  <c r="D274" i="19"/>
  <c r="C274" i="19"/>
  <c r="Z273" i="19"/>
  <c r="AA273" i="19" s="1"/>
  <c r="G273" i="19"/>
  <c r="F273" i="19"/>
  <c r="C273" i="19" s="1"/>
  <c r="E273" i="19"/>
  <c r="D273" i="19"/>
  <c r="Z272" i="19"/>
  <c r="AA272" i="19" s="1"/>
  <c r="G272" i="19"/>
  <c r="F272" i="19"/>
  <c r="C272" i="19" s="1"/>
  <c r="E272" i="19"/>
  <c r="D272" i="19"/>
  <c r="Z271" i="19"/>
  <c r="G271" i="19"/>
  <c r="F271" i="19"/>
  <c r="C271" i="19" s="1"/>
  <c r="E271" i="19"/>
  <c r="D271" i="19"/>
  <c r="Z270" i="19"/>
  <c r="G270" i="19"/>
  <c r="F270" i="19"/>
  <c r="E270" i="19"/>
  <c r="D270" i="19"/>
  <c r="C270" i="19"/>
  <c r="Z269" i="19"/>
  <c r="AA269" i="19" s="1"/>
  <c r="G269" i="19"/>
  <c r="F269" i="19"/>
  <c r="C269" i="19" s="1"/>
  <c r="E269" i="19"/>
  <c r="D269" i="19"/>
  <c r="Z268" i="19"/>
  <c r="G268" i="19"/>
  <c r="F268" i="19"/>
  <c r="C268" i="19" s="1"/>
  <c r="E268" i="19"/>
  <c r="D268" i="19"/>
  <c r="Z267" i="19"/>
  <c r="AA267" i="19" s="1"/>
  <c r="G267" i="19"/>
  <c r="F267" i="19"/>
  <c r="C267" i="19" s="1"/>
  <c r="E267" i="19"/>
  <c r="D267" i="19"/>
  <c r="Z266" i="19"/>
  <c r="G266" i="19"/>
  <c r="F266" i="19"/>
  <c r="E266" i="19"/>
  <c r="D266" i="19"/>
  <c r="C266" i="19"/>
  <c r="Z265" i="19"/>
  <c r="G265" i="19"/>
  <c r="F265" i="19"/>
  <c r="C265" i="19" s="1"/>
  <c r="E265" i="19"/>
  <c r="D265" i="19"/>
  <c r="Z264" i="19"/>
  <c r="AA264" i="19" s="1"/>
  <c r="G264" i="19"/>
  <c r="F264" i="19"/>
  <c r="C264" i="19" s="1"/>
  <c r="E264" i="19"/>
  <c r="D264" i="19"/>
  <c r="Z263" i="19"/>
  <c r="G263" i="19"/>
  <c r="F263" i="19"/>
  <c r="C263" i="19" s="1"/>
  <c r="E263" i="19"/>
  <c r="D263" i="19"/>
  <c r="Z262" i="19"/>
  <c r="G262" i="19"/>
  <c r="F262" i="19"/>
  <c r="E262" i="19"/>
  <c r="D262" i="19"/>
  <c r="C262" i="19"/>
  <c r="Z261" i="19"/>
  <c r="AA261" i="19" s="1"/>
  <c r="G261" i="19"/>
  <c r="F261" i="19"/>
  <c r="C261" i="19" s="1"/>
  <c r="E261" i="19"/>
  <c r="D261" i="19"/>
  <c r="Z260" i="19"/>
  <c r="G260" i="19"/>
  <c r="F260" i="19"/>
  <c r="C260" i="19" s="1"/>
  <c r="E260" i="19"/>
  <c r="D260" i="19"/>
  <c r="Z259" i="19"/>
  <c r="AA259" i="19" s="1"/>
  <c r="G259" i="19"/>
  <c r="F259" i="19"/>
  <c r="C259" i="19" s="1"/>
  <c r="E259" i="19"/>
  <c r="D259" i="19"/>
  <c r="Z258" i="19"/>
  <c r="G258" i="19"/>
  <c r="F258" i="19"/>
  <c r="E258" i="19"/>
  <c r="D258" i="19"/>
  <c r="C258" i="19"/>
  <c r="Z257" i="19"/>
  <c r="G257" i="19"/>
  <c r="F257" i="19"/>
  <c r="C257" i="19" s="1"/>
  <c r="E257" i="19"/>
  <c r="D257" i="19"/>
  <c r="Z256" i="19"/>
  <c r="AA256" i="19" s="1"/>
  <c r="G256" i="19"/>
  <c r="F256" i="19"/>
  <c r="C256" i="19" s="1"/>
  <c r="E256" i="19"/>
  <c r="D256" i="19"/>
  <c r="Z255" i="19"/>
  <c r="G255" i="19"/>
  <c r="F255" i="19"/>
  <c r="C255" i="19" s="1"/>
  <c r="E255" i="19"/>
  <c r="D255" i="19"/>
  <c r="Z254" i="19"/>
  <c r="G254" i="19"/>
  <c r="F254" i="19"/>
  <c r="E254" i="19"/>
  <c r="D254" i="19"/>
  <c r="C254" i="19"/>
  <c r="Z253" i="19"/>
  <c r="AA253" i="19" s="1"/>
  <c r="G253" i="19"/>
  <c r="F253" i="19"/>
  <c r="C253" i="19" s="1"/>
  <c r="E253" i="19"/>
  <c r="D253" i="19"/>
  <c r="Z252" i="19"/>
  <c r="G252" i="19"/>
  <c r="F252" i="19"/>
  <c r="C252" i="19" s="1"/>
  <c r="E252" i="19"/>
  <c r="D252" i="19"/>
  <c r="Z251" i="19"/>
  <c r="AA251" i="19" s="1"/>
  <c r="G251" i="19"/>
  <c r="F251" i="19"/>
  <c r="C251" i="19" s="1"/>
  <c r="E251" i="19"/>
  <c r="D251" i="19"/>
  <c r="Z250" i="19"/>
  <c r="G250" i="19"/>
  <c r="F250" i="19"/>
  <c r="E250" i="19"/>
  <c r="D250" i="19"/>
  <c r="C250" i="19"/>
  <c r="Z249" i="19"/>
  <c r="G249" i="19"/>
  <c r="F249" i="19"/>
  <c r="C249" i="19" s="1"/>
  <c r="E249" i="19"/>
  <c r="D249" i="19"/>
  <c r="Z248" i="19"/>
  <c r="AA248" i="19" s="1"/>
  <c r="G248" i="19"/>
  <c r="F248" i="19"/>
  <c r="C248" i="19" s="1"/>
  <c r="E248" i="19"/>
  <c r="D248" i="19"/>
  <c r="Z247" i="19"/>
  <c r="G247" i="19"/>
  <c r="F247" i="19"/>
  <c r="C247" i="19" s="1"/>
  <c r="E247" i="19"/>
  <c r="D247" i="19"/>
  <c r="Z246" i="19"/>
  <c r="G246" i="19"/>
  <c r="F246" i="19"/>
  <c r="E246" i="19"/>
  <c r="D246" i="19"/>
  <c r="C246" i="19"/>
  <c r="Z245" i="19"/>
  <c r="G245" i="19"/>
  <c r="AA245" i="19" s="1"/>
  <c r="F245" i="19"/>
  <c r="C245" i="19" s="1"/>
  <c r="E245" i="19"/>
  <c r="D245" i="19"/>
  <c r="AA244" i="19"/>
  <c r="Z244" i="19"/>
  <c r="G244" i="19"/>
  <c r="F244" i="19"/>
  <c r="E244" i="19"/>
  <c r="D244" i="19"/>
  <c r="C244" i="19"/>
  <c r="Z243" i="19"/>
  <c r="G243" i="19"/>
  <c r="F243" i="19"/>
  <c r="C243" i="19" s="1"/>
  <c r="E243" i="19"/>
  <c r="D243" i="19"/>
  <c r="AA242" i="19"/>
  <c r="Z242" i="19"/>
  <c r="G242" i="19"/>
  <c r="F242" i="19"/>
  <c r="E242" i="19"/>
  <c r="D242" i="19"/>
  <c r="C242" i="19"/>
  <c r="Z241" i="19"/>
  <c r="G241" i="19"/>
  <c r="F241" i="19"/>
  <c r="C241" i="19" s="1"/>
  <c r="E241" i="19"/>
  <c r="D241" i="19"/>
  <c r="Z240" i="19"/>
  <c r="AA240" i="19" s="1"/>
  <c r="G240" i="19"/>
  <c r="F240" i="19"/>
  <c r="E240" i="19"/>
  <c r="D240" i="19"/>
  <c r="C240" i="19"/>
  <c r="Z239" i="19"/>
  <c r="AA239" i="19" s="1"/>
  <c r="G239" i="19"/>
  <c r="F239" i="19"/>
  <c r="C239" i="19" s="1"/>
  <c r="E239" i="19"/>
  <c r="D239" i="19"/>
  <c r="Z238" i="19"/>
  <c r="G238" i="19"/>
  <c r="AA238" i="19" s="1"/>
  <c r="F238" i="19"/>
  <c r="E238" i="19"/>
  <c r="D238" i="19"/>
  <c r="C238" i="19"/>
  <c r="Z237" i="19"/>
  <c r="G237" i="19"/>
  <c r="F237" i="19"/>
  <c r="C237" i="19" s="1"/>
  <c r="E237" i="19"/>
  <c r="D237" i="19"/>
  <c r="Z236" i="19"/>
  <c r="AA236" i="19" s="1"/>
  <c r="G236" i="19"/>
  <c r="F236" i="19"/>
  <c r="E236" i="19"/>
  <c r="D236" i="19"/>
  <c r="C236" i="19"/>
  <c r="Z235" i="19"/>
  <c r="AA235" i="19" s="1"/>
  <c r="G235" i="19"/>
  <c r="F235" i="19"/>
  <c r="C235" i="19" s="1"/>
  <c r="E235" i="19"/>
  <c r="D235" i="19"/>
  <c r="Z234" i="19"/>
  <c r="G234" i="19"/>
  <c r="F234" i="19"/>
  <c r="E234" i="19"/>
  <c r="D234" i="19"/>
  <c r="C234" i="19"/>
  <c r="Z233" i="19"/>
  <c r="G233" i="19"/>
  <c r="F233" i="19"/>
  <c r="C233" i="19" s="1"/>
  <c r="E233" i="19"/>
  <c r="D233" i="19"/>
  <c r="Z232" i="19"/>
  <c r="AA232" i="19" s="1"/>
  <c r="G232" i="19"/>
  <c r="F232" i="19"/>
  <c r="E232" i="19"/>
  <c r="D232" i="19"/>
  <c r="C232" i="19"/>
  <c r="Z231" i="19"/>
  <c r="AA231" i="19" s="1"/>
  <c r="G231" i="19"/>
  <c r="F231" i="19"/>
  <c r="C231" i="19" s="1"/>
  <c r="E231" i="19"/>
  <c r="D231" i="19"/>
  <c r="Z230" i="19"/>
  <c r="G230" i="19"/>
  <c r="F230" i="19"/>
  <c r="E230" i="19"/>
  <c r="D230" i="19"/>
  <c r="C230" i="19"/>
  <c r="Z229" i="19"/>
  <c r="G229" i="19"/>
  <c r="F229" i="19"/>
  <c r="C229" i="19" s="1"/>
  <c r="E229" i="19"/>
  <c r="D229" i="19"/>
  <c r="Z228" i="19"/>
  <c r="AA228" i="19" s="1"/>
  <c r="G228" i="19"/>
  <c r="F228" i="19"/>
  <c r="E228" i="19"/>
  <c r="D228" i="19"/>
  <c r="C228" i="19"/>
  <c r="Z227" i="19"/>
  <c r="AA227" i="19" s="1"/>
  <c r="G227" i="19"/>
  <c r="F227" i="19"/>
  <c r="C227" i="19" s="1"/>
  <c r="E227" i="19"/>
  <c r="D227" i="19"/>
  <c r="Z226" i="19"/>
  <c r="AA226" i="19" s="1"/>
  <c r="G226" i="19"/>
  <c r="F226" i="19"/>
  <c r="E226" i="19"/>
  <c r="D226" i="19"/>
  <c r="C226" i="19"/>
  <c r="Z225" i="19"/>
  <c r="AA225" i="19" s="1"/>
  <c r="G225" i="19"/>
  <c r="F225" i="19"/>
  <c r="C225" i="19" s="1"/>
  <c r="E225" i="19"/>
  <c r="D225" i="19"/>
  <c r="Z224" i="19"/>
  <c r="G224" i="19"/>
  <c r="F224" i="19"/>
  <c r="E224" i="19"/>
  <c r="D224" i="19"/>
  <c r="C224" i="19"/>
  <c r="Z223" i="19"/>
  <c r="G223" i="19"/>
  <c r="F223" i="19"/>
  <c r="C223" i="19" s="1"/>
  <c r="E223" i="19"/>
  <c r="D223" i="19"/>
  <c r="Z222" i="19"/>
  <c r="G222" i="19"/>
  <c r="F222" i="19"/>
  <c r="E222" i="19"/>
  <c r="D222" i="19"/>
  <c r="C222" i="19"/>
  <c r="Z221" i="19"/>
  <c r="AA221" i="19" s="1"/>
  <c r="G221" i="19"/>
  <c r="F221" i="19"/>
  <c r="C221" i="19" s="1"/>
  <c r="E221" i="19"/>
  <c r="D221" i="19"/>
  <c r="Z220" i="19"/>
  <c r="G220" i="19"/>
  <c r="F220" i="19"/>
  <c r="E220" i="19"/>
  <c r="D220" i="19"/>
  <c r="C220" i="19"/>
  <c r="Z219" i="19"/>
  <c r="G219" i="19"/>
  <c r="F219" i="19"/>
  <c r="C219" i="19" s="1"/>
  <c r="E219" i="19"/>
  <c r="D219" i="19"/>
  <c r="Z218" i="19"/>
  <c r="AA218" i="19" s="1"/>
  <c r="G218" i="19"/>
  <c r="F218" i="19"/>
  <c r="E218" i="19"/>
  <c r="D218" i="19"/>
  <c r="C218" i="19"/>
  <c r="Z217" i="19"/>
  <c r="AA217" i="19" s="1"/>
  <c r="G217" i="19"/>
  <c r="F217" i="19"/>
  <c r="C217" i="19" s="1"/>
  <c r="E217" i="19"/>
  <c r="D217" i="19"/>
  <c r="Z216" i="19"/>
  <c r="G216" i="19"/>
  <c r="F216" i="19"/>
  <c r="E216" i="19"/>
  <c r="D216" i="19"/>
  <c r="C216" i="19"/>
  <c r="Z215" i="19"/>
  <c r="G215" i="19"/>
  <c r="F215" i="19"/>
  <c r="C215" i="19" s="1"/>
  <c r="E215" i="19"/>
  <c r="D215" i="19"/>
  <c r="Z214" i="19"/>
  <c r="G214" i="19"/>
  <c r="F214" i="19"/>
  <c r="E214" i="19"/>
  <c r="D214" i="19"/>
  <c r="C214" i="19"/>
  <c r="Z213" i="19"/>
  <c r="AA213" i="19" s="1"/>
  <c r="G213" i="19"/>
  <c r="F213" i="19"/>
  <c r="C213" i="19" s="1"/>
  <c r="E213" i="19"/>
  <c r="D213" i="19"/>
  <c r="Z212" i="19"/>
  <c r="G212" i="19"/>
  <c r="F212" i="19"/>
  <c r="E212" i="19"/>
  <c r="D212" i="19"/>
  <c r="C212" i="19"/>
  <c r="Z211" i="19"/>
  <c r="G211" i="19"/>
  <c r="F211" i="19"/>
  <c r="C211" i="19" s="1"/>
  <c r="E211" i="19"/>
  <c r="D211" i="19"/>
  <c r="Z210" i="19"/>
  <c r="G210" i="19"/>
  <c r="AA210" i="19" s="1"/>
  <c r="F210" i="19"/>
  <c r="E210" i="19"/>
  <c r="D210" i="19"/>
  <c r="C210" i="19"/>
  <c r="Z209" i="19"/>
  <c r="G209" i="19"/>
  <c r="F209" i="19"/>
  <c r="C209" i="19" s="1"/>
  <c r="E209" i="19"/>
  <c r="D209" i="19"/>
  <c r="Z208" i="19"/>
  <c r="AA208" i="19" s="1"/>
  <c r="G208" i="19"/>
  <c r="F208" i="19"/>
  <c r="E208" i="19"/>
  <c r="D208" i="19"/>
  <c r="C208" i="19"/>
  <c r="Z207" i="19"/>
  <c r="AA207" i="19" s="1"/>
  <c r="G207" i="19"/>
  <c r="F207" i="19"/>
  <c r="C207" i="19" s="1"/>
  <c r="E207" i="19"/>
  <c r="D207" i="19"/>
  <c r="Z206" i="19"/>
  <c r="G206" i="19"/>
  <c r="AA206" i="19" s="1"/>
  <c r="F206" i="19"/>
  <c r="E206" i="19"/>
  <c r="D206" i="19"/>
  <c r="C206" i="19"/>
  <c r="Z205" i="19"/>
  <c r="G205" i="19"/>
  <c r="F205" i="19"/>
  <c r="C205" i="19" s="1"/>
  <c r="E205" i="19"/>
  <c r="D205" i="19"/>
  <c r="Z204" i="19"/>
  <c r="AA204" i="19" s="1"/>
  <c r="G204" i="19"/>
  <c r="F204" i="19"/>
  <c r="E204" i="19"/>
  <c r="D204" i="19"/>
  <c r="C204" i="19"/>
  <c r="Z203" i="19"/>
  <c r="AA203" i="19" s="1"/>
  <c r="G203" i="19"/>
  <c r="F203" i="19"/>
  <c r="C203" i="19" s="1"/>
  <c r="E203" i="19"/>
  <c r="D203" i="19"/>
  <c r="Z202" i="19"/>
  <c r="G202" i="19"/>
  <c r="F202" i="19"/>
  <c r="E202" i="19"/>
  <c r="D202" i="19"/>
  <c r="C202" i="19"/>
  <c r="Z201" i="19"/>
  <c r="G201" i="19"/>
  <c r="F201" i="19"/>
  <c r="C201" i="19" s="1"/>
  <c r="E201" i="19"/>
  <c r="D201" i="19"/>
  <c r="Z200" i="19"/>
  <c r="G200" i="19"/>
  <c r="F200" i="19"/>
  <c r="E200" i="19"/>
  <c r="D200" i="19"/>
  <c r="C200" i="19"/>
  <c r="Z199" i="19"/>
  <c r="AA199" i="19" s="1"/>
  <c r="G199" i="19"/>
  <c r="F199" i="19"/>
  <c r="C199" i="19" s="1"/>
  <c r="E199" i="19"/>
  <c r="D199" i="19"/>
  <c r="Z198" i="19"/>
  <c r="AA198" i="19" s="1"/>
  <c r="G198" i="19"/>
  <c r="F198" i="19"/>
  <c r="E198" i="19"/>
  <c r="D198" i="19"/>
  <c r="C198" i="19"/>
  <c r="Z197" i="19"/>
  <c r="AA197" i="19" s="1"/>
  <c r="G197" i="19"/>
  <c r="F197" i="19"/>
  <c r="C197" i="19" s="1"/>
  <c r="E197" i="19"/>
  <c r="D197" i="19"/>
  <c r="Z196" i="19"/>
  <c r="G196" i="19"/>
  <c r="F196" i="19"/>
  <c r="E196" i="19"/>
  <c r="D196" i="19"/>
  <c r="C196" i="19"/>
  <c r="Z195" i="19"/>
  <c r="G195" i="19"/>
  <c r="F195" i="19"/>
  <c r="C195" i="19" s="1"/>
  <c r="E195" i="19"/>
  <c r="D195" i="19"/>
  <c r="Z194" i="19"/>
  <c r="AA194" i="19" s="1"/>
  <c r="G194" i="19"/>
  <c r="F194" i="19"/>
  <c r="E194" i="19"/>
  <c r="D194" i="19"/>
  <c r="C194" i="19"/>
  <c r="Z193" i="19"/>
  <c r="AA193" i="19" s="1"/>
  <c r="G193" i="19"/>
  <c r="F193" i="19"/>
  <c r="C193" i="19" s="1"/>
  <c r="E193" i="19"/>
  <c r="D193" i="19"/>
  <c r="Z192" i="19"/>
  <c r="G192" i="19"/>
  <c r="AA192" i="19" s="1"/>
  <c r="F192" i="19"/>
  <c r="E192" i="19"/>
  <c r="D192" i="19"/>
  <c r="C192" i="19"/>
  <c r="Z191" i="19"/>
  <c r="G191" i="19"/>
  <c r="F191" i="19"/>
  <c r="C191" i="19" s="1"/>
  <c r="E191" i="19"/>
  <c r="D191" i="19"/>
  <c r="Z190" i="19"/>
  <c r="G190" i="19"/>
  <c r="AA190" i="19" s="1"/>
  <c r="F190" i="19"/>
  <c r="E190" i="19"/>
  <c r="D190" i="19"/>
  <c r="C190" i="19"/>
  <c r="Z189" i="19"/>
  <c r="G189" i="19"/>
  <c r="F189" i="19"/>
  <c r="C189" i="19" s="1"/>
  <c r="E189" i="19"/>
  <c r="D189" i="19"/>
  <c r="Z188" i="19"/>
  <c r="G188" i="19"/>
  <c r="F188" i="19"/>
  <c r="E188" i="19"/>
  <c r="D188" i="19"/>
  <c r="C188" i="19"/>
  <c r="Z187" i="19"/>
  <c r="AA187" i="19" s="1"/>
  <c r="G187" i="19"/>
  <c r="F187" i="19"/>
  <c r="C187" i="19" s="1"/>
  <c r="E187" i="19"/>
  <c r="D187" i="19"/>
  <c r="Z186" i="19"/>
  <c r="G186" i="19"/>
  <c r="F186" i="19"/>
  <c r="E186" i="19"/>
  <c r="D186" i="19"/>
  <c r="C186" i="19"/>
  <c r="Z185" i="19"/>
  <c r="G185" i="19"/>
  <c r="F185" i="19"/>
  <c r="C185" i="19" s="1"/>
  <c r="E185" i="19"/>
  <c r="D185" i="19"/>
  <c r="Z184" i="19"/>
  <c r="G184" i="19"/>
  <c r="F184" i="19"/>
  <c r="E184" i="19"/>
  <c r="D184" i="19"/>
  <c r="C184" i="19"/>
  <c r="Z183" i="19"/>
  <c r="AA183" i="19" s="1"/>
  <c r="G183" i="19"/>
  <c r="F183" i="19"/>
  <c r="C183" i="19" s="1"/>
  <c r="E183" i="19"/>
  <c r="D183" i="19"/>
  <c r="Z182" i="19"/>
  <c r="AA182" i="19" s="1"/>
  <c r="G182" i="19"/>
  <c r="F182" i="19"/>
  <c r="E182" i="19"/>
  <c r="D182" i="19"/>
  <c r="C182" i="19"/>
  <c r="Z181" i="19"/>
  <c r="AA181" i="19" s="1"/>
  <c r="G181" i="19"/>
  <c r="F181" i="19"/>
  <c r="C181" i="19" s="1"/>
  <c r="E181" i="19"/>
  <c r="D181" i="19"/>
  <c r="Z180" i="19"/>
  <c r="G180" i="19"/>
  <c r="F180" i="19"/>
  <c r="E180" i="19"/>
  <c r="D180" i="19"/>
  <c r="C180" i="19"/>
  <c r="Z179" i="19"/>
  <c r="G179" i="19"/>
  <c r="F179" i="19"/>
  <c r="C179" i="19" s="1"/>
  <c r="E179" i="19"/>
  <c r="D179" i="19"/>
  <c r="Z178" i="19"/>
  <c r="G178" i="19"/>
  <c r="F178" i="19"/>
  <c r="E178" i="19"/>
  <c r="D178" i="19"/>
  <c r="C178" i="19"/>
  <c r="Z177" i="19"/>
  <c r="AA177" i="19" s="1"/>
  <c r="G177" i="19"/>
  <c r="F177" i="19"/>
  <c r="C177" i="19" s="1"/>
  <c r="E177" i="19"/>
  <c r="D177" i="19"/>
  <c r="Z176" i="19"/>
  <c r="G176" i="19"/>
  <c r="F176" i="19"/>
  <c r="E176" i="19"/>
  <c r="D176" i="19"/>
  <c r="C176" i="19"/>
  <c r="Z175" i="19"/>
  <c r="G175" i="19"/>
  <c r="F175" i="19"/>
  <c r="C175" i="19" s="1"/>
  <c r="E175" i="19"/>
  <c r="D175" i="19"/>
  <c r="Z174" i="19"/>
  <c r="G174" i="19"/>
  <c r="F174" i="19"/>
  <c r="E174" i="19"/>
  <c r="D174" i="19"/>
  <c r="C174" i="19"/>
  <c r="Z173" i="19"/>
  <c r="AA173" i="19" s="1"/>
  <c r="G173" i="19"/>
  <c r="F173" i="19"/>
  <c r="C173" i="19" s="1"/>
  <c r="E173" i="19"/>
  <c r="D173" i="19"/>
  <c r="Z172" i="19"/>
  <c r="G172" i="19"/>
  <c r="F172" i="19"/>
  <c r="E172" i="19"/>
  <c r="D172" i="19"/>
  <c r="C172" i="19"/>
  <c r="Z171" i="19"/>
  <c r="G171" i="19"/>
  <c r="F171" i="19"/>
  <c r="C171" i="19" s="1"/>
  <c r="E171" i="19"/>
  <c r="D171" i="19"/>
  <c r="Z170" i="19"/>
  <c r="G170" i="19"/>
  <c r="F170" i="19"/>
  <c r="E170" i="19"/>
  <c r="D170" i="19"/>
  <c r="C170" i="19"/>
  <c r="Z169" i="19"/>
  <c r="AA169" i="19" s="1"/>
  <c r="G169" i="19"/>
  <c r="F169" i="19"/>
  <c r="C169" i="19" s="1"/>
  <c r="E169" i="19"/>
  <c r="D169" i="19"/>
  <c r="Z168" i="19"/>
  <c r="G168" i="19"/>
  <c r="F168" i="19"/>
  <c r="E168" i="19"/>
  <c r="D168" i="19"/>
  <c r="C168" i="19"/>
  <c r="Z167" i="19"/>
  <c r="G167" i="19"/>
  <c r="F167" i="19"/>
  <c r="C167" i="19" s="1"/>
  <c r="E167" i="19"/>
  <c r="D167" i="19"/>
  <c r="Z166" i="19"/>
  <c r="G166" i="19"/>
  <c r="F166" i="19"/>
  <c r="E166" i="19"/>
  <c r="D166" i="19"/>
  <c r="C166" i="19"/>
  <c r="Z165" i="19"/>
  <c r="AA165" i="19" s="1"/>
  <c r="G165" i="19"/>
  <c r="F165" i="19"/>
  <c r="C165" i="19" s="1"/>
  <c r="E165" i="19"/>
  <c r="D165" i="19"/>
  <c r="Z164" i="19"/>
  <c r="G164" i="19"/>
  <c r="F164" i="19"/>
  <c r="E164" i="19"/>
  <c r="D164" i="19"/>
  <c r="C164" i="19"/>
  <c r="Z163" i="19"/>
  <c r="G163" i="19"/>
  <c r="F163" i="19"/>
  <c r="C163" i="19" s="1"/>
  <c r="E163" i="19"/>
  <c r="D163" i="19"/>
  <c r="Z162" i="19"/>
  <c r="G162" i="19"/>
  <c r="F162" i="19"/>
  <c r="E162" i="19"/>
  <c r="D162" i="19"/>
  <c r="C162" i="19"/>
  <c r="Z161" i="19"/>
  <c r="AA161" i="19" s="1"/>
  <c r="G161" i="19"/>
  <c r="F161" i="19"/>
  <c r="C161" i="19" s="1"/>
  <c r="E161" i="19"/>
  <c r="D161" i="19"/>
  <c r="Z160" i="19"/>
  <c r="G160" i="19"/>
  <c r="F160" i="19"/>
  <c r="E160" i="19"/>
  <c r="D160" i="19"/>
  <c r="C160" i="19"/>
  <c r="Z159" i="19"/>
  <c r="G159" i="19"/>
  <c r="F159" i="19"/>
  <c r="C159" i="19" s="1"/>
  <c r="E159" i="19"/>
  <c r="D159" i="19"/>
  <c r="Z158" i="19"/>
  <c r="G158" i="19"/>
  <c r="F158" i="19"/>
  <c r="E158" i="19"/>
  <c r="D158" i="19"/>
  <c r="C158" i="19"/>
  <c r="Z157" i="19"/>
  <c r="AA157" i="19" s="1"/>
  <c r="G157" i="19"/>
  <c r="F157" i="19"/>
  <c r="C157" i="19" s="1"/>
  <c r="E157" i="19"/>
  <c r="D157" i="19"/>
  <c r="Z156" i="19"/>
  <c r="G156" i="19"/>
  <c r="F156" i="19"/>
  <c r="E156" i="19"/>
  <c r="D156" i="19"/>
  <c r="C156" i="19"/>
  <c r="Z155" i="19"/>
  <c r="G155" i="19"/>
  <c r="F155" i="19"/>
  <c r="C155" i="19" s="1"/>
  <c r="E155" i="19"/>
  <c r="D155" i="19"/>
  <c r="Z154" i="19"/>
  <c r="G154" i="19"/>
  <c r="F154" i="19"/>
  <c r="E154" i="19"/>
  <c r="D154" i="19"/>
  <c r="C154" i="19"/>
  <c r="Z153" i="19"/>
  <c r="AA153" i="19" s="1"/>
  <c r="G153" i="19"/>
  <c r="F153" i="19"/>
  <c r="C153" i="19" s="1"/>
  <c r="E153" i="19"/>
  <c r="D153" i="19"/>
  <c r="Z152" i="19"/>
  <c r="G152" i="19"/>
  <c r="F152" i="19"/>
  <c r="E152" i="19"/>
  <c r="D152" i="19"/>
  <c r="C152" i="19"/>
  <c r="Z151" i="19"/>
  <c r="G151" i="19"/>
  <c r="F151" i="19"/>
  <c r="C151" i="19" s="1"/>
  <c r="E151" i="19"/>
  <c r="D151" i="19"/>
  <c r="Z150" i="19"/>
  <c r="G150" i="19"/>
  <c r="F150" i="19"/>
  <c r="E150" i="19"/>
  <c r="D150" i="19"/>
  <c r="C150" i="19"/>
  <c r="Z149" i="19"/>
  <c r="AA149" i="19" s="1"/>
  <c r="G149" i="19"/>
  <c r="F149" i="19"/>
  <c r="C149" i="19" s="1"/>
  <c r="E149" i="19"/>
  <c r="D149" i="19"/>
  <c r="Z148" i="19"/>
  <c r="G148" i="19"/>
  <c r="F148" i="19"/>
  <c r="E148" i="19"/>
  <c r="D148" i="19"/>
  <c r="C148" i="19"/>
  <c r="Z147" i="19"/>
  <c r="G147" i="19"/>
  <c r="F147" i="19"/>
  <c r="C147" i="19" s="1"/>
  <c r="E147" i="19"/>
  <c r="D147" i="19"/>
  <c r="Z146" i="19"/>
  <c r="G146" i="19"/>
  <c r="F146" i="19"/>
  <c r="E146" i="19"/>
  <c r="D146" i="19"/>
  <c r="C146" i="19"/>
  <c r="Z145" i="19"/>
  <c r="AA145" i="19" s="1"/>
  <c r="G145" i="19"/>
  <c r="F145" i="19"/>
  <c r="C145" i="19" s="1"/>
  <c r="E145" i="19"/>
  <c r="D145" i="19"/>
  <c r="Z144" i="19"/>
  <c r="G144" i="19"/>
  <c r="F144" i="19"/>
  <c r="E144" i="19"/>
  <c r="D144" i="19"/>
  <c r="C144" i="19"/>
  <c r="Z143" i="19"/>
  <c r="G143" i="19"/>
  <c r="F143" i="19"/>
  <c r="C143" i="19" s="1"/>
  <c r="E143" i="19"/>
  <c r="D143" i="19"/>
  <c r="Z142" i="19"/>
  <c r="G142" i="19"/>
  <c r="F142" i="19"/>
  <c r="E142" i="19"/>
  <c r="D142" i="19"/>
  <c r="C142" i="19"/>
  <c r="Z141" i="19"/>
  <c r="AA141" i="19" s="1"/>
  <c r="G141" i="19"/>
  <c r="F141" i="19"/>
  <c r="C141" i="19" s="1"/>
  <c r="E141" i="19"/>
  <c r="D141" i="19"/>
  <c r="Z140" i="19"/>
  <c r="G140" i="19"/>
  <c r="F140" i="19"/>
  <c r="E140" i="19"/>
  <c r="D140" i="19"/>
  <c r="C140" i="19"/>
  <c r="Z139" i="19"/>
  <c r="G139" i="19"/>
  <c r="F139" i="19"/>
  <c r="C139" i="19" s="1"/>
  <c r="E139" i="19"/>
  <c r="D139" i="19"/>
  <c r="Z138" i="19"/>
  <c r="G138" i="19"/>
  <c r="F138" i="19"/>
  <c r="E138" i="19"/>
  <c r="D138" i="19"/>
  <c r="C138" i="19"/>
  <c r="Z137" i="19"/>
  <c r="AA137" i="19" s="1"/>
  <c r="G137" i="19"/>
  <c r="F137" i="19"/>
  <c r="C137" i="19" s="1"/>
  <c r="E137" i="19"/>
  <c r="D137" i="19"/>
  <c r="Z136" i="19"/>
  <c r="G136" i="19"/>
  <c r="F136" i="19"/>
  <c r="E136" i="19"/>
  <c r="D136" i="19"/>
  <c r="C136" i="19"/>
  <c r="Z135" i="19"/>
  <c r="G135" i="19"/>
  <c r="F135" i="19"/>
  <c r="C135" i="19" s="1"/>
  <c r="E135" i="19"/>
  <c r="D135" i="19"/>
  <c r="Z134" i="19"/>
  <c r="G134" i="19"/>
  <c r="F134" i="19"/>
  <c r="E134" i="19"/>
  <c r="D134" i="19"/>
  <c r="C134" i="19"/>
  <c r="Z133" i="19"/>
  <c r="AA133" i="19" s="1"/>
  <c r="G133" i="19"/>
  <c r="F133" i="19"/>
  <c r="C133" i="19" s="1"/>
  <c r="E133" i="19"/>
  <c r="D133" i="19"/>
  <c r="Z132" i="19"/>
  <c r="G132" i="19"/>
  <c r="F132" i="19"/>
  <c r="E132" i="19"/>
  <c r="D132" i="19"/>
  <c r="C132" i="19"/>
  <c r="Z131" i="19"/>
  <c r="G131" i="19"/>
  <c r="F131" i="19"/>
  <c r="C131" i="19" s="1"/>
  <c r="E131" i="19"/>
  <c r="D131" i="19"/>
  <c r="Z130" i="19"/>
  <c r="G130" i="19"/>
  <c r="F130" i="19"/>
  <c r="E130" i="19"/>
  <c r="D130" i="19"/>
  <c r="C130" i="19"/>
  <c r="Z129" i="19"/>
  <c r="AA129" i="19" s="1"/>
  <c r="G129" i="19"/>
  <c r="F129" i="19"/>
  <c r="C129" i="19" s="1"/>
  <c r="E129" i="19"/>
  <c r="D129" i="19"/>
  <c r="Z128" i="19"/>
  <c r="G128" i="19"/>
  <c r="F128" i="19"/>
  <c r="E128" i="19"/>
  <c r="D128" i="19"/>
  <c r="C128" i="19"/>
  <c r="Z127" i="19"/>
  <c r="G127" i="19"/>
  <c r="F127" i="19"/>
  <c r="C127" i="19" s="1"/>
  <c r="E127" i="19"/>
  <c r="D127" i="19"/>
  <c r="Z126" i="19"/>
  <c r="G126" i="19"/>
  <c r="F126" i="19"/>
  <c r="E126" i="19"/>
  <c r="D126" i="19"/>
  <c r="C126" i="19"/>
  <c r="Z125" i="19"/>
  <c r="AA125" i="19" s="1"/>
  <c r="G125" i="19"/>
  <c r="F125" i="19"/>
  <c r="C125" i="19" s="1"/>
  <c r="E125" i="19"/>
  <c r="D125" i="19"/>
  <c r="Z124" i="19"/>
  <c r="G124" i="19"/>
  <c r="F124" i="19"/>
  <c r="E124" i="19"/>
  <c r="D124" i="19"/>
  <c r="C124" i="19"/>
  <c r="Z123" i="19"/>
  <c r="G123" i="19"/>
  <c r="F123" i="19"/>
  <c r="C123" i="19" s="1"/>
  <c r="E123" i="19"/>
  <c r="D123" i="19"/>
  <c r="Z122" i="19"/>
  <c r="G122" i="19"/>
  <c r="F122" i="19"/>
  <c r="E122" i="19"/>
  <c r="D122" i="19"/>
  <c r="C122" i="19"/>
  <c r="Z121" i="19"/>
  <c r="AA121" i="19" s="1"/>
  <c r="G121" i="19"/>
  <c r="F121" i="19"/>
  <c r="C121" i="19" s="1"/>
  <c r="E121" i="19"/>
  <c r="D121" i="19"/>
  <c r="Z120" i="19"/>
  <c r="G120" i="19"/>
  <c r="F120" i="19"/>
  <c r="E120" i="19"/>
  <c r="D120" i="19"/>
  <c r="C120" i="19"/>
  <c r="Z119" i="19"/>
  <c r="G119" i="19"/>
  <c r="F119" i="19"/>
  <c r="C119" i="19" s="1"/>
  <c r="E119" i="19"/>
  <c r="D119" i="19"/>
  <c r="Z118" i="19"/>
  <c r="G118" i="19"/>
  <c r="F118" i="19"/>
  <c r="E118" i="19"/>
  <c r="D118" i="19"/>
  <c r="C118" i="19"/>
  <c r="Z117" i="19"/>
  <c r="AA117" i="19" s="1"/>
  <c r="G117" i="19"/>
  <c r="F117" i="19"/>
  <c r="C117" i="19" s="1"/>
  <c r="E117" i="19"/>
  <c r="D117" i="19"/>
  <c r="Z116" i="19"/>
  <c r="G116" i="19"/>
  <c r="F116" i="19"/>
  <c r="E116" i="19"/>
  <c r="D116" i="19"/>
  <c r="C116" i="19"/>
  <c r="Z115" i="19"/>
  <c r="G115" i="19"/>
  <c r="F115" i="19"/>
  <c r="C115" i="19" s="1"/>
  <c r="E115" i="19"/>
  <c r="D115" i="19"/>
  <c r="Z114" i="19"/>
  <c r="G114" i="19"/>
  <c r="F114" i="19"/>
  <c r="E114" i="19"/>
  <c r="D114" i="19"/>
  <c r="C114" i="19"/>
  <c r="Z113" i="19"/>
  <c r="AA113" i="19" s="1"/>
  <c r="G113" i="19"/>
  <c r="F113" i="19"/>
  <c r="C113" i="19" s="1"/>
  <c r="E113" i="19"/>
  <c r="D113" i="19"/>
  <c r="Z112" i="19"/>
  <c r="G112" i="19"/>
  <c r="F112" i="19"/>
  <c r="E112" i="19"/>
  <c r="D112" i="19"/>
  <c r="C112" i="19"/>
  <c r="Z111" i="19"/>
  <c r="G111" i="19"/>
  <c r="F111" i="19"/>
  <c r="C111" i="19" s="1"/>
  <c r="E111" i="19"/>
  <c r="D111" i="19"/>
  <c r="Z110" i="19"/>
  <c r="G110" i="19"/>
  <c r="F110" i="19"/>
  <c r="E110" i="19"/>
  <c r="D110" i="19"/>
  <c r="C110" i="19"/>
  <c r="Z109" i="19"/>
  <c r="AA109" i="19" s="1"/>
  <c r="G109" i="19"/>
  <c r="F109" i="19"/>
  <c r="C109" i="19" s="1"/>
  <c r="E109" i="19"/>
  <c r="D109" i="19"/>
  <c r="Z108" i="19"/>
  <c r="G108" i="19"/>
  <c r="F108" i="19"/>
  <c r="E108" i="19"/>
  <c r="D108" i="19"/>
  <c r="C108" i="19"/>
  <c r="Z107" i="19"/>
  <c r="G107" i="19"/>
  <c r="F107" i="19"/>
  <c r="C107" i="19" s="1"/>
  <c r="E107" i="19"/>
  <c r="D107" i="19"/>
  <c r="Z106" i="19"/>
  <c r="G106" i="19"/>
  <c r="F106" i="19"/>
  <c r="E106" i="19"/>
  <c r="D106" i="19"/>
  <c r="C106" i="19"/>
  <c r="Z105" i="19"/>
  <c r="AA105" i="19" s="1"/>
  <c r="G105" i="19"/>
  <c r="F105" i="19"/>
  <c r="C105" i="19" s="1"/>
  <c r="E105" i="19"/>
  <c r="D105" i="19"/>
  <c r="Z104" i="19"/>
  <c r="G104" i="19"/>
  <c r="F104" i="19"/>
  <c r="E104" i="19"/>
  <c r="D104" i="19"/>
  <c r="C104" i="19"/>
  <c r="Z103" i="19"/>
  <c r="G103" i="19"/>
  <c r="F103" i="19"/>
  <c r="C103" i="19" s="1"/>
  <c r="E103" i="19"/>
  <c r="D103" i="19"/>
  <c r="Z102" i="19"/>
  <c r="G102" i="19"/>
  <c r="F102" i="19"/>
  <c r="E102" i="19"/>
  <c r="D102" i="19"/>
  <c r="C102" i="19"/>
  <c r="Z101" i="19"/>
  <c r="AA101" i="19" s="1"/>
  <c r="G101" i="19"/>
  <c r="F101" i="19"/>
  <c r="C101" i="19" s="1"/>
  <c r="E101" i="19"/>
  <c r="D101" i="19"/>
  <c r="Z100" i="19"/>
  <c r="G100" i="19"/>
  <c r="F100" i="19"/>
  <c r="E100" i="19"/>
  <c r="D100" i="19"/>
  <c r="C100" i="19"/>
  <c r="Z99" i="19"/>
  <c r="G99" i="19"/>
  <c r="F99" i="19"/>
  <c r="C99" i="19" s="1"/>
  <c r="E99" i="19"/>
  <c r="D99" i="19"/>
  <c r="Z98" i="19"/>
  <c r="G98" i="19"/>
  <c r="F98" i="19"/>
  <c r="E98" i="19"/>
  <c r="D98" i="19"/>
  <c r="C98" i="19"/>
  <c r="Z97" i="19"/>
  <c r="AA97" i="19" s="1"/>
  <c r="G97" i="19"/>
  <c r="F97" i="19"/>
  <c r="C97" i="19" s="1"/>
  <c r="E97" i="19"/>
  <c r="D97" i="19"/>
  <c r="Z96" i="19"/>
  <c r="G96" i="19"/>
  <c r="F96" i="19"/>
  <c r="E96" i="19"/>
  <c r="D96" i="19"/>
  <c r="C96" i="19"/>
  <c r="Z95" i="19"/>
  <c r="G95" i="19"/>
  <c r="F95" i="19"/>
  <c r="C95" i="19" s="1"/>
  <c r="E95" i="19"/>
  <c r="D95" i="19"/>
  <c r="Z94" i="19"/>
  <c r="G94" i="19"/>
  <c r="F94" i="19"/>
  <c r="E94" i="19"/>
  <c r="D94" i="19"/>
  <c r="C94" i="19"/>
  <c r="Z93" i="19"/>
  <c r="AA93" i="19" s="1"/>
  <c r="G93" i="19"/>
  <c r="F93" i="19"/>
  <c r="C93" i="19" s="1"/>
  <c r="E93" i="19"/>
  <c r="D93" i="19"/>
  <c r="Z92" i="19"/>
  <c r="G92" i="19"/>
  <c r="F92" i="19"/>
  <c r="E92" i="19"/>
  <c r="D92" i="19"/>
  <c r="C92" i="19"/>
  <c r="Z91" i="19"/>
  <c r="G91" i="19"/>
  <c r="F91" i="19"/>
  <c r="C91" i="19" s="1"/>
  <c r="E91" i="19"/>
  <c r="D91" i="19"/>
  <c r="Z90" i="19"/>
  <c r="G90" i="19"/>
  <c r="F90" i="19"/>
  <c r="E90" i="19"/>
  <c r="D90" i="19"/>
  <c r="C90" i="19"/>
  <c r="Z89" i="19"/>
  <c r="AA89" i="19" s="1"/>
  <c r="G89" i="19"/>
  <c r="F89" i="19"/>
  <c r="C89" i="19" s="1"/>
  <c r="E89" i="19"/>
  <c r="D89" i="19"/>
  <c r="Z88" i="19"/>
  <c r="G88" i="19"/>
  <c r="F88" i="19"/>
  <c r="E88" i="19"/>
  <c r="D88" i="19"/>
  <c r="C88" i="19"/>
  <c r="Z87" i="19"/>
  <c r="G87" i="19"/>
  <c r="F87" i="19"/>
  <c r="C87" i="19" s="1"/>
  <c r="E87" i="19"/>
  <c r="D87" i="19"/>
  <c r="Z86" i="19"/>
  <c r="G86" i="19"/>
  <c r="F86" i="19"/>
  <c r="E86" i="19"/>
  <c r="D86" i="19"/>
  <c r="C86" i="19"/>
  <c r="Z85" i="19"/>
  <c r="AA85" i="19" s="1"/>
  <c r="G85" i="19"/>
  <c r="F85" i="19"/>
  <c r="C85" i="19" s="1"/>
  <c r="E85" i="19"/>
  <c r="D85" i="19"/>
  <c r="Z84" i="19"/>
  <c r="G84" i="19"/>
  <c r="F84" i="19"/>
  <c r="E84" i="19"/>
  <c r="D84" i="19"/>
  <c r="C84" i="19"/>
  <c r="Z83" i="19"/>
  <c r="G83" i="19"/>
  <c r="F83" i="19"/>
  <c r="C83" i="19" s="1"/>
  <c r="E83" i="19"/>
  <c r="D83" i="19"/>
  <c r="Z82" i="19"/>
  <c r="AA82" i="19" s="1"/>
  <c r="G82" i="19"/>
  <c r="F82" i="19"/>
  <c r="E82" i="19"/>
  <c r="D82" i="19"/>
  <c r="C82" i="19"/>
  <c r="Z81" i="19"/>
  <c r="G81" i="19"/>
  <c r="F81" i="19"/>
  <c r="E81" i="19"/>
  <c r="D81" i="19"/>
  <c r="C81" i="19"/>
  <c r="Z80" i="19"/>
  <c r="G80" i="19"/>
  <c r="F80" i="19"/>
  <c r="C80" i="19" s="1"/>
  <c r="E80" i="19"/>
  <c r="D80" i="19"/>
  <c r="Z79" i="19"/>
  <c r="G79" i="19"/>
  <c r="F79" i="19"/>
  <c r="C79" i="19" s="1"/>
  <c r="E79" i="19"/>
  <c r="D79" i="19"/>
  <c r="Z78" i="19"/>
  <c r="AA78" i="19" s="1"/>
  <c r="G78" i="19"/>
  <c r="F78" i="19"/>
  <c r="E78" i="19"/>
  <c r="D78" i="19"/>
  <c r="C78" i="19"/>
  <c r="Z77" i="19"/>
  <c r="AA77" i="19" s="1"/>
  <c r="G77" i="19"/>
  <c r="F77" i="19"/>
  <c r="C77" i="19" s="1"/>
  <c r="E77" i="19"/>
  <c r="D77" i="19"/>
  <c r="Z76" i="19"/>
  <c r="AA76" i="19" s="1"/>
  <c r="G76" i="19"/>
  <c r="F76" i="19"/>
  <c r="E76" i="19"/>
  <c r="D76" i="19"/>
  <c r="C76" i="19"/>
  <c r="Z75" i="19"/>
  <c r="AA75" i="19" s="1"/>
  <c r="G75" i="19"/>
  <c r="F75" i="19"/>
  <c r="C75" i="19" s="1"/>
  <c r="E75" i="19"/>
  <c r="D75" i="19"/>
  <c r="Z74" i="19"/>
  <c r="AA74" i="19" s="1"/>
  <c r="G74" i="19"/>
  <c r="F74" i="19"/>
  <c r="E74" i="19"/>
  <c r="D74" i="19"/>
  <c r="C74" i="19"/>
  <c r="Z73" i="19"/>
  <c r="G73" i="19"/>
  <c r="F73" i="19"/>
  <c r="E73" i="19"/>
  <c r="D73" i="19"/>
  <c r="C73" i="19"/>
  <c r="Z72" i="19"/>
  <c r="G72" i="19"/>
  <c r="F72" i="19"/>
  <c r="C72" i="19" s="1"/>
  <c r="E72" i="19"/>
  <c r="D72" i="19"/>
  <c r="Z71" i="19"/>
  <c r="AA71" i="19" s="1"/>
  <c r="G71" i="19"/>
  <c r="F71" i="19"/>
  <c r="C71" i="19" s="1"/>
  <c r="E71" i="19"/>
  <c r="D71" i="19"/>
  <c r="Z70" i="19"/>
  <c r="G70" i="19"/>
  <c r="F70" i="19"/>
  <c r="E70" i="19"/>
  <c r="D70" i="19"/>
  <c r="C70" i="19"/>
  <c r="Z69" i="19"/>
  <c r="G69" i="19"/>
  <c r="F69" i="19"/>
  <c r="C69" i="19" s="1"/>
  <c r="E69" i="19"/>
  <c r="D69" i="19"/>
  <c r="Z68" i="19"/>
  <c r="AA68" i="19" s="1"/>
  <c r="G68" i="19"/>
  <c r="F68" i="19"/>
  <c r="E68" i="19"/>
  <c r="D68" i="19"/>
  <c r="C68" i="19"/>
  <c r="Z67" i="19"/>
  <c r="AA67" i="19" s="1"/>
  <c r="G67" i="19"/>
  <c r="F67" i="19"/>
  <c r="C67" i="19" s="1"/>
  <c r="E67" i="19"/>
  <c r="D67" i="19"/>
  <c r="Z66" i="19"/>
  <c r="G66" i="19"/>
  <c r="F66" i="19"/>
  <c r="E66" i="19"/>
  <c r="D66" i="19"/>
  <c r="C66" i="19"/>
  <c r="Z65" i="19"/>
  <c r="G65" i="19"/>
  <c r="F65" i="19"/>
  <c r="E65" i="19"/>
  <c r="D65" i="19"/>
  <c r="C65" i="19"/>
  <c r="Z64" i="19"/>
  <c r="G64" i="19"/>
  <c r="F64" i="19"/>
  <c r="C64" i="19" s="1"/>
  <c r="E64" i="19"/>
  <c r="D64" i="19"/>
  <c r="Z63" i="19"/>
  <c r="AA63" i="19" s="1"/>
  <c r="G63" i="19"/>
  <c r="F63" i="19"/>
  <c r="C63" i="19" s="1"/>
  <c r="E63" i="19"/>
  <c r="D63" i="19"/>
  <c r="Z62" i="19"/>
  <c r="G62" i="19"/>
  <c r="F62" i="19"/>
  <c r="E62" i="19"/>
  <c r="D62" i="19"/>
  <c r="C62" i="19"/>
  <c r="Z61" i="19"/>
  <c r="G61" i="19"/>
  <c r="F61" i="19"/>
  <c r="C61" i="19" s="1"/>
  <c r="E61" i="19"/>
  <c r="D61" i="19"/>
  <c r="Z60" i="19"/>
  <c r="G60" i="19"/>
  <c r="AA60" i="19" s="1"/>
  <c r="F60" i="19"/>
  <c r="E60" i="19"/>
  <c r="D60" i="19"/>
  <c r="C60" i="19"/>
  <c r="Z59" i="19"/>
  <c r="G59" i="19"/>
  <c r="F59" i="19"/>
  <c r="C59" i="19" s="1"/>
  <c r="E59" i="19"/>
  <c r="D59" i="19"/>
  <c r="Z58" i="19"/>
  <c r="G58" i="19"/>
  <c r="AA58" i="19" s="1"/>
  <c r="F58" i="19"/>
  <c r="E58" i="19"/>
  <c r="D58" i="19"/>
  <c r="C58" i="19"/>
  <c r="Z57" i="19"/>
  <c r="G57" i="19"/>
  <c r="F57" i="19"/>
  <c r="E57" i="19"/>
  <c r="D57" i="19"/>
  <c r="C57" i="19"/>
  <c r="Z56" i="19"/>
  <c r="G56" i="19"/>
  <c r="AA56" i="19" s="1"/>
  <c r="F56" i="19"/>
  <c r="C56" i="19" s="1"/>
  <c r="E56" i="19"/>
  <c r="D56" i="19"/>
  <c r="AA55" i="19"/>
  <c r="Z55" i="19"/>
  <c r="G55" i="19"/>
  <c r="F55" i="19"/>
  <c r="C55" i="19" s="1"/>
  <c r="E55" i="19"/>
  <c r="D55" i="19"/>
  <c r="Z54" i="19"/>
  <c r="AA54" i="19" s="1"/>
  <c r="G54" i="19"/>
  <c r="F54" i="19"/>
  <c r="E54" i="19"/>
  <c r="D54" i="19"/>
  <c r="C54" i="19"/>
  <c r="Z53" i="19"/>
  <c r="AA53" i="19" s="1"/>
  <c r="G53" i="19"/>
  <c r="F53" i="19"/>
  <c r="C53" i="19" s="1"/>
  <c r="E53" i="19"/>
  <c r="D53" i="19"/>
  <c r="Z52" i="19"/>
  <c r="G52" i="19"/>
  <c r="F52" i="19"/>
  <c r="E52" i="19"/>
  <c r="D52" i="19"/>
  <c r="C52" i="19"/>
  <c r="Z51" i="19"/>
  <c r="G51" i="19"/>
  <c r="F51" i="19"/>
  <c r="C51" i="19" s="1"/>
  <c r="E51" i="19"/>
  <c r="D51" i="19"/>
  <c r="Z50" i="19"/>
  <c r="AA50" i="19" s="1"/>
  <c r="G50" i="19"/>
  <c r="F50" i="19"/>
  <c r="E50" i="19"/>
  <c r="D50" i="19"/>
  <c r="C50" i="19"/>
  <c r="Z49" i="19"/>
  <c r="G49" i="19"/>
  <c r="F49" i="19"/>
  <c r="E49" i="19"/>
  <c r="D49" i="19"/>
  <c r="C49" i="19"/>
  <c r="Z48" i="19"/>
  <c r="G48" i="19"/>
  <c r="F48" i="19"/>
  <c r="C48" i="19" s="1"/>
  <c r="E48" i="19"/>
  <c r="D48" i="19"/>
  <c r="Z47" i="19"/>
  <c r="G47" i="19"/>
  <c r="F47" i="19"/>
  <c r="C47" i="19" s="1"/>
  <c r="E47" i="19"/>
  <c r="D47" i="19"/>
  <c r="Z46" i="19"/>
  <c r="AA46" i="19" s="1"/>
  <c r="G46" i="19"/>
  <c r="F46" i="19"/>
  <c r="E46" i="19"/>
  <c r="D46" i="19"/>
  <c r="C46" i="19"/>
  <c r="Z45" i="19"/>
  <c r="AA45" i="19" s="1"/>
  <c r="G45" i="19"/>
  <c r="F45" i="19"/>
  <c r="C45" i="19" s="1"/>
  <c r="E45" i="19"/>
  <c r="D45" i="19"/>
  <c r="Z44" i="19"/>
  <c r="AA44" i="19" s="1"/>
  <c r="G44" i="19"/>
  <c r="F44" i="19"/>
  <c r="E44" i="19"/>
  <c r="D44" i="19"/>
  <c r="C44" i="19"/>
  <c r="Z43" i="19"/>
  <c r="AA43" i="19" s="1"/>
  <c r="G43" i="19"/>
  <c r="F43" i="19"/>
  <c r="C43" i="19" s="1"/>
  <c r="E43" i="19"/>
  <c r="D43" i="19"/>
  <c r="Z42" i="19"/>
  <c r="AA42" i="19" s="1"/>
  <c r="G42" i="19"/>
  <c r="F42" i="19"/>
  <c r="E42" i="19"/>
  <c r="D42" i="19"/>
  <c r="C42" i="19"/>
  <c r="Z41" i="19"/>
  <c r="G41" i="19"/>
  <c r="F41" i="19"/>
  <c r="E41" i="19"/>
  <c r="D41" i="19"/>
  <c r="C41" i="19"/>
  <c r="Z40" i="19"/>
  <c r="G40" i="19"/>
  <c r="F40" i="19"/>
  <c r="C40" i="19" s="1"/>
  <c r="E40" i="19"/>
  <c r="D40" i="19"/>
  <c r="Z39" i="19"/>
  <c r="AA39" i="19" s="1"/>
  <c r="G39" i="19"/>
  <c r="F39" i="19"/>
  <c r="C39" i="19" s="1"/>
  <c r="E39" i="19"/>
  <c r="D39" i="19"/>
  <c r="Z38" i="19"/>
  <c r="G38" i="19"/>
  <c r="F38" i="19"/>
  <c r="E38" i="19"/>
  <c r="D38" i="19"/>
  <c r="C38" i="19"/>
  <c r="Z37" i="19"/>
  <c r="G37" i="19"/>
  <c r="F37" i="19"/>
  <c r="C37" i="19" s="1"/>
  <c r="E37" i="19"/>
  <c r="D37" i="19"/>
  <c r="Z36" i="19"/>
  <c r="AA36" i="19" s="1"/>
  <c r="G36" i="19"/>
  <c r="F36" i="19"/>
  <c r="E36" i="19"/>
  <c r="D36" i="19"/>
  <c r="C36" i="19"/>
  <c r="Z35" i="19"/>
  <c r="AA35" i="19" s="1"/>
  <c r="G35" i="19"/>
  <c r="F35" i="19"/>
  <c r="C35" i="19" s="1"/>
  <c r="E35" i="19"/>
  <c r="D35" i="19"/>
  <c r="Z34" i="19"/>
  <c r="G34" i="19"/>
  <c r="F34" i="19"/>
  <c r="E34" i="19"/>
  <c r="D34" i="19"/>
  <c r="C34" i="19"/>
  <c r="Z33" i="19"/>
  <c r="G33" i="19"/>
  <c r="F33" i="19"/>
  <c r="E33" i="19"/>
  <c r="D33" i="19"/>
  <c r="C33" i="19"/>
  <c r="Z32" i="19"/>
  <c r="G32" i="19"/>
  <c r="F32" i="19"/>
  <c r="C32" i="19" s="1"/>
  <c r="E32" i="19"/>
  <c r="D32" i="19"/>
  <c r="Z31" i="19"/>
  <c r="AA31" i="19" s="1"/>
  <c r="G31" i="19"/>
  <c r="F31" i="19"/>
  <c r="C31" i="19" s="1"/>
  <c r="E31" i="19"/>
  <c r="D31" i="19"/>
  <c r="Z30" i="19"/>
  <c r="G30" i="19"/>
  <c r="F30" i="19"/>
  <c r="E30" i="19"/>
  <c r="D30" i="19"/>
  <c r="C30" i="19"/>
  <c r="Z29" i="19"/>
  <c r="G29" i="19"/>
  <c r="F29" i="19"/>
  <c r="C29" i="19" s="1"/>
  <c r="E29" i="19"/>
  <c r="D29" i="19"/>
  <c r="AA28" i="19"/>
  <c r="Z28" i="19"/>
  <c r="G28" i="19"/>
  <c r="F28" i="19"/>
  <c r="E28" i="19"/>
  <c r="D28" i="19"/>
  <c r="C28" i="19"/>
  <c r="Z27" i="19"/>
  <c r="G27" i="19"/>
  <c r="F27" i="19"/>
  <c r="C27" i="19" s="1"/>
  <c r="E27" i="19"/>
  <c r="D27" i="19"/>
  <c r="AA26" i="19"/>
  <c r="Z26" i="19"/>
  <c r="G26" i="19"/>
  <c r="F26" i="19"/>
  <c r="E26" i="19"/>
  <c r="D26" i="19"/>
  <c r="C26" i="19"/>
  <c r="Z25" i="19"/>
  <c r="G25" i="19"/>
  <c r="F25" i="19"/>
  <c r="E25" i="19"/>
  <c r="D25" i="19"/>
  <c r="C25" i="19"/>
  <c r="Z24" i="19"/>
  <c r="G24" i="19"/>
  <c r="AA24" i="19" s="1"/>
  <c r="F24" i="19"/>
  <c r="C24" i="19" s="1"/>
  <c r="E24" i="19"/>
  <c r="D24" i="19"/>
  <c r="Z23" i="19"/>
  <c r="G23" i="19"/>
  <c r="AA23" i="19" s="1"/>
  <c r="F23" i="19"/>
  <c r="C23" i="19" s="1"/>
  <c r="E23" i="19"/>
  <c r="D23" i="19"/>
  <c r="Z22" i="19"/>
  <c r="AA22" i="19" s="1"/>
  <c r="G22" i="19"/>
  <c r="F22" i="19"/>
  <c r="E22" i="19"/>
  <c r="D22" i="19"/>
  <c r="C22" i="19"/>
  <c r="Z21" i="19"/>
  <c r="AA21" i="19" s="1"/>
  <c r="G21" i="19"/>
  <c r="F21" i="19"/>
  <c r="C21" i="19" s="1"/>
  <c r="E21" i="19"/>
  <c r="D21" i="19"/>
  <c r="Z20" i="19"/>
  <c r="G20" i="19"/>
  <c r="F20" i="19"/>
  <c r="E20" i="19"/>
  <c r="D20" i="19"/>
  <c r="C20" i="19"/>
  <c r="Z19" i="19"/>
  <c r="G19" i="19"/>
  <c r="F19" i="19"/>
  <c r="C19" i="19" s="1"/>
  <c r="E19" i="19"/>
  <c r="D19" i="19"/>
  <c r="Z18" i="19"/>
  <c r="AA18" i="19" s="1"/>
  <c r="G18" i="19"/>
  <c r="F18" i="19"/>
  <c r="E18" i="19"/>
  <c r="D18" i="19"/>
  <c r="C18" i="19"/>
  <c r="Z17" i="19"/>
  <c r="G17" i="19"/>
  <c r="F17" i="19"/>
  <c r="E17" i="19"/>
  <c r="D17" i="19"/>
  <c r="C17" i="19"/>
  <c r="Z16" i="19"/>
  <c r="G16" i="19"/>
  <c r="F16" i="19"/>
  <c r="C16" i="19" s="1"/>
  <c r="E16" i="19"/>
  <c r="D16" i="19"/>
  <c r="Z15" i="19"/>
  <c r="G15" i="19"/>
  <c r="F15" i="19"/>
  <c r="C15" i="19" s="1"/>
  <c r="E15" i="19"/>
  <c r="D15" i="19"/>
  <c r="Z14" i="19"/>
  <c r="AA14" i="19" s="1"/>
  <c r="G14" i="19"/>
  <c r="F14" i="19"/>
  <c r="E14" i="19"/>
  <c r="D14" i="19"/>
  <c r="C14" i="19"/>
  <c r="Z13" i="19"/>
  <c r="AA13" i="19" s="1"/>
  <c r="G13" i="19"/>
  <c r="F13" i="19"/>
  <c r="C13" i="19" s="1"/>
  <c r="E13" i="19"/>
  <c r="D13" i="19"/>
  <c r="Z12" i="19"/>
  <c r="G12" i="19"/>
  <c r="F12" i="19"/>
  <c r="E12" i="19"/>
  <c r="D12" i="19"/>
  <c r="C12" i="19"/>
  <c r="Z11" i="19"/>
  <c r="G11" i="19"/>
  <c r="F11" i="19"/>
  <c r="E11" i="19"/>
  <c r="D11" i="19"/>
  <c r="C11" i="19"/>
  <c r="Z10" i="19"/>
  <c r="G10" i="19"/>
  <c r="F10" i="19"/>
  <c r="C10" i="19" s="1"/>
  <c r="E10" i="19"/>
  <c r="D10" i="19"/>
  <c r="Z9" i="19"/>
  <c r="AA9" i="19" s="1"/>
  <c r="G9" i="19"/>
  <c r="F9" i="19"/>
  <c r="C9" i="19" s="1"/>
  <c r="E9" i="19"/>
  <c r="D9" i="19"/>
  <c r="Z8" i="19"/>
  <c r="G8" i="19"/>
  <c r="F8" i="19"/>
  <c r="C8" i="19" s="1"/>
  <c r="E8" i="19"/>
  <c r="D8" i="19"/>
  <c r="AA11" i="23" l="1"/>
  <c r="AA19" i="23"/>
  <c r="AA30" i="23"/>
  <c r="AA38" i="23"/>
  <c r="AA41" i="23"/>
  <c r="AA44" i="23"/>
  <c r="AA49" i="23"/>
  <c r="AA52" i="23"/>
  <c r="AA57" i="23"/>
  <c r="AA60" i="23"/>
  <c r="AA65" i="23"/>
  <c r="AA68" i="23"/>
  <c r="AA73" i="23"/>
  <c r="AA76" i="23"/>
  <c r="AA81" i="23"/>
  <c r="AA84" i="23"/>
  <c r="AA89" i="23"/>
  <c r="AA92" i="23"/>
  <c r="AA97" i="23"/>
  <c r="AA100" i="23"/>
  <c r="AA105" i="23"/>
  <c r="AA108" i="23"/>
  <c r="AA113" i="23"/>
  <c r="AA116" i="23"/>
  <c r="AA121" i="23"/>
  <c r="AA124" i="23"/>
  <c r="AA129" i="23"/>
  <c r="AA132" i="23"/>
  <c r="AA137" i="23"/>
  <c r="AA140" i="23"/>
  <c r="AA145" i="23"/>
  <c r="AA148" i="23"/>
  <c r="AA153" i="23"/>
  <c r="AA156" i="23"/>
  <c r="AA161" i="23"/>
  <c r="AA164" i="23"/>
  <c r="AA171" i="23"/>
  <c r="AA181" i="23"/>
  <c r="AA186" i="23"/>
  <c r="AA188" i="23"/>
  <c r="AA191" i="23"/>
  <c r="AA193" i="23"/>
  <c r="AA203" i="23"/>
  <c r="AA206" i="23"/>
  <c r="AA213" i="23"/>
  <c r="AA216" i="23"/>
  <c r="AA223" i="23"/>
  <c r="AA226" i="23"/>
  <c r="AA229" i="23"/>
  <c r="AA232" i="23"/>
  <c r="AA239" i="23"/>
  <c r="AA242" i="23"/>
  <c r="AA245" i="23"/>
  <c r="AA248" i="23"/>
  <c r="AA255" i="23"/>
  <c r="AA258" i="23"/>
  <c r="AA261" i="23"/>
  <c r="AA264" i="23"/>
  <c r="AA271" i="23"/>
  <c r="AA274" i="23"/>
  <c r="AA277" i="23"/>
  <c r="AA280" i="23"/>
  <c r="AA287" i="23"/>
  <c r="AA290" i="23"/>
  <c r="AA293" i="23"/>
  <c r="AA296" i="23"/>
  <c r="AA303" i="23"/>
  <c r="AA306" i="23"/>
  <c r="AA309" i="23"/>
  <c r="AA312" i="23"/>
  <c r="AA319" i="23"/>
  <c r="AA322" i="23"/>
  <c r="AA130" i="23"/>
  <c r="AA138" i="23"/>
  <c r="AA146" i="23"/>
  <c r="AA154" i="23"/>
  <c r="AA162" i="23"/>
  <c r="AA194" i="23"/>
  <c r="AA300" i="23"/>
  <c r="AA307" i="23"/>
  <c r="AA310" i="23"/>
  <c r="AA313" i="23"/>
  <c r="AA316" i="23"/>
  <c r="AA323" i="23"/>
  <c r="AA10" i="23"/>
  <c r="AA15" i="23"/>
  <c r="AA20" i="23"/>
  <c r="AA27" i="23"/>
  <c r="AA29" i="23"/>
  <c r="AA34" i="23"/>
  <c r="AA37" i="23"/>
  <c r="AA45" i="23"/>
  <c r="AA53" i="23"/>
  <c r="AA61" i="23"/>
  <c r="AA69" i="23"/>
  <c r="AA77" i="23"/>
  <c r="AA85" i="23"/>
  <c r="AA93" i="23"/>
  <c r="AA304" i="23"/>
  <c r="AA311" i="23"/>
  <c r="AA314" i="23"/>
  <c r="AA317" i="23"/>
  <c r="AA320" i="23"/>
  <c r="AA8" i="23"/>
  <c r="AA18" i="23"/>
  <c r="AA21" i="23"/>
  <c r="AA35" i="23"/>
  <c r="AA43" i="23"/>
  <c r="AA51" i="23"/>
  <c r="AA59" i="23"/>
  <c r="AA67" i="23"/>
  <c r="AA75" i="23"/>
  <c r="AA83" i="23"/>
  <c r="AA91" i="23"/>
  <c r="AA99" i="23"/>
  <c r="AA107" i="23"/>
  <c r="AA115" i="23"/>
  <c r="AA123" i="23"/>
  <c r="AA131" i="23"/>
  <c r="AA139" i="23"/>
  <c r="AA147" i="23"/>
  <c r="AA155" i="23"/>
  <c r="AA163" i="23"/>
  <c r="AA173" i="23"/>
  <c r="AA180" i="23"/>
  <c r="AA183" i="23"/>
  <c r="AA185" i="23"/>
  <c r="AA195" i="23"/>
  <c r="AA205" i="23"/>
  <c r="AA219" i="23"/>
  <c r="AA222" i="23"/>
  <c r="AA225" i="23"/>
  <c r="AA228" i="23"/>
  <c r="AA235" i="23"/>
  <c r="AA238" i="23"/>
  <c r="AA241" i="23"/>
  <c r="AA244" i="23"/>
  <c r="AA251" i="23"/>
  <c r="AA254" i="23"/>
  <c r="AA257" i="23"/>
  <c r="AA260" i="23"/>
  <c r="AA267" i="23"/>
  <c r="AA270" i="23"/>
  <c r="AA273" i="23"/>
  <c r="AA276" i="23"/>
  <c r="AA283" i="23"/>
  <c r="AA292" i="23"/>
  <c r="AA32" i="23"/>
  <c r="AA46" i="23"/>
  <c r="AA54" i="23"/>
  <c r="AA62" i="23"/>
  <c r="AA70" i="23"/>
  <c r="AA78" i="23"/>
  <c r="AA86" i="23"/>
  <c r="AA94" i="23"/>
  <c r="AA102" i="23"/>
  <c r="AA110" i="23"/>
  <c r="AA118" i="23"/>
  <c r="AA126" i="23"/>
  <c r="AA134" i="23"/>
  <c r="AA142" i="23"/>
  <c r="AA150" i="23"/>
  <c r="AA158" i="23"/>
  <c r="AA166" i="23"/>
  <c r="AA182" i="23"/>
  <c r="AA198" i="23"/>
  <c r="AA9" i="23"/>
  <c r="AA16" i="23"/>
  <c r="AA42" i="23"/>
  <c r="AA50" i="23"/>
  <c r="AA58" i="23"/>
  <c r="AA66" i="23"/>
  <c r="AA74" i="23"/>
  <c r="AA82" i="23"/>
  <c r="AA90" i="23"/>
  <c r="AA98" i="23"/>
  <c r="AA106" i="23"/>
  <c r="AA114" i="23"/>
  <c r="AA122" i="23"/>
  <c r="AA174" i="23"/>
  <c r="AA190" i="23"/>
  <c r="R329" i="23"/>
  <c r="N329" i="23"/>
  <c r="J329" i="23"/>
  <c r="R328" i="23"/>
  <c r="N328" i="23"/>
  <c r="J328" i="23"/>
  <c r="R327" i="23"/>
  <c r="N327" i="23"/>
  <c r="J327" i="23"/>
  <c r="T326" i="23"/>
  <c r="P326" i="23"/>
  <c r="L326" i="23"/>
  <c r="H326" i="23"/>
  <c r="U329" i="23"/>
  <c r="Q329" i="23"/>
  <c r="M329" i="23"/>
  <c r="I329" i="23"/>
  <c r="U328" i="23"/>
  <c r="Q328" i="23"/>
  <c r="M328" i="23"/>
  <c r="I328" i="23"/>
  <c r="U327" i="23"/>
  <c r="Q327" i="23"/>
  <c r="M327" i="23"/>
  <c r="I327" i="23"/>
  <c r="S326" i="23"/>
  <c r="O326" i="23"/>
  <c r="K326" i="23"/>
  <c r="T329" i="23"/>
  <c r="P329" i="23"/>
  <c r="L329" i="23"/>
  <c r="H329" i="23"/>
  <c r="T328" i="23"/>
  <c r="P328" i="23"/>
  <c r="L328" i="23"/>
  <c r="H328" i="23"/>
  <c r="T327" i="23"/>
  <c r="P327" i="23"/>
  <c r="L327" i="23"/>
  <c r="H327" i="23"/>
  <c r="R326" i="23"/>
  <c r="R330" i="23" s="1"/>
  <c r="N326" i="23"/>
  <c r="N330" i="23" s="1"/>
  <c r="J326" i="23"/>
  <c r="J330" i="23" s="1"/>
  <c r="S329" i="23"/>
  <c r="O329" i="23"/>
  <c r="K329" i="23"/>
  <c r="S328" i="23"/>
  <c r="O328" i="23"/>
  <c r="K328" i="23"/>
  <c r="S327" i="23"/>
  <c r="O327" i="23"/>
  <c r="K327" i="23"/>
  <c r="U326" i="23"/>
  <c r="Q326" i="23"/>
  <c r="Q330" i="23" s="1"/>
  <c r="M326" i="23"/>
  <c r="M330" i="23" s="1"/>
  <c r="I326" i="23"/>
  <c r="I330" i="23" s="1"/>
  <c r="AA17" i="23"/>
  <c r="AA25" i="23"/>
  <c r="AA33" i="23"/>
  <c r="AA207" i="23"/>
  <c r="AA211" i="23"/>
  <c r="AA208" i="23"/>
  <c r="AA212" i="23"/>
  <c r="AA10" i="22"/>
  <c r="AA29" i="22"/>
  <c r="AA32" i="22"/>
  <c r="AA35" i="22"/>
  <c r="AA37" i="22"/>
  <c r="AA40" i="22"/>
  <c r="AA50" i="22"/>
  <c r="AA55" i="22"/>
  <c r="AA58" i="22"/>
  <c r="AA63" i="22"/>
  <c r="AA66" i="22"/>
  <c r="AA71" i="22"/>
  <c r="AA74" i="22"/>
  <c r="AA79" i="22"/>
  <c r="AA82" i="22"/>
  <c r="AA87" i="22"/>
  <c r="AA90" i="22"/>
  <c r="AA95" i="22"/>
  <c r="AA98" i="22"/>
  <c r="AA103" i="22"/>
  <c r="AA106" i="22"/>
  <c r="AA111" i="22"/>
  <c r="AA114" i="22"/>
  <c r="AA119" i="22"/>
  <c r="AA122" i="22"/>
  <c r="AA127" i="22"/>
  <c r="AA130" i="22"/>
  <c r="AA135" i="22"/>
  <c r="AA138" i="22"/>
  <c r="AA140" i="22"/>
  <c r="AA143" i="22"/>
  <c r="AA148" i="22"/>
  <c r="AA151" i="22"/>
  <c r="AA156" i="22"/>
  <c r="AA159" i="22"/>
  <c r="AA164" i="22"/>
  <c r="AA167" i="22"/>
  <c r="AA177" i="22"/>
  <c r="AA179" i="22"/>
  <c r="AA187" i="22"/>
  <c r="AA199" i="22"/>
  <c r="AA234" i="22"/>
  <c r="AA241" i="22"/>
  <c r="AA247" i="22"/>
  <c r="AA252" i="22"/>
  <c r="AA261" i="22"/>
  <c r="AA264" i="22"/>
  <c r="AA267" i="22"/>
  <c r="AA270" i="22"/>
  <c r="AA273" i="22"/>
  <c r="AA279" i="22"/>
  <c r="AA284" i="22"/>
  <c r="AA293" i="22"/>
  <c r="AA296" i="22"/>
  <c r="AA299" i="22"/>
  <c r="AA302" i="22"/>
  <c r="AA305" i="22"/>
  <c r="AA311" i="22"/>
  <c r="AA316" i="22"/>
  <c r="AA325" i="22"/>
  <c r="AA320" i="22"/>
  <c r="AA323" i="22"/>
  <c r="AA13" i="22"/>
  <c r="AA16" i="22"/>
  <c r="AA23" i="22"/>
  <c r="AA26" i="22"/>
  <c r="AA47" i="22"/>
  <c r="AA59" i="22"/>
  <c r="AA67" i="22"/>
  <c r="AA75" i="22"/>
  <c r="AA83" i="22"/>
  <c r="AA91" i="22"/>
  <c r="AA99" i="22"/>
  <c r="AA107" i="22"/>
  <c r="AA115" i="22"/>
  <c r="AA123" i="22"/>
  <c r="AA131" i="22"/>
  <c r="AA139" i="22"/>
  <c r="AA144" i="22"/>
  <c r="AA147" i="22"/>
  <c r="AA152" i="22"/>
  <c r="AA155" i="22"/>
  <c r="AA160" i="22"/>
  <c r="AA163" i="22"/>
  <c r="AA171" i="22"/>
  <c r="AA183" i="22"/>
  <c r="AA193" i="22"/>
  <c r="AA195" i="22"/>
  <c r="AA203" i="22"/>
  <c r="AA245" i="22"/>
  <c r="AA248" i="22"/>
  <c r="AA251" i="22"/>
  <c r="AA254" i="22"/>
  <c r="AA257" i="22"/>
  <c r="AA263" i="22"/>
  <c r="AA280" i="22"/>
  <c r="AA283" i="22"/>
  <c r="AA312" i="22"/>
  <c r="AA315" i="22"/>
  <c r="AA186" i="22"/>
  <c r="AA189" i="22"/>
  <c r="AA198" i="22"/>
  <c r="AA201" i="22"/>
  <c r="AA208" i="22"/>
  <c r="AA213" i="22"/>
  <c r="AA224" i="22"/>
  <c r="AA229" i="22"/>
  <c r="AA243" i="22"/>
  <c r="AA246" i="22"/>
  <c r="AA249" i="22"/>
  <c r="AA255" i="22"/>
  <c r="AA260" i="22"/>
  <c r="AA269" i="22"/>
  <c r="AA272" i="22"/>
  <c r="AA275" i="22"/>
  <c r="AA278" i="22"/>
  <c r="AA281" i="22"/>
  <c r="AA287" i="22"/>
  <c r="AA292" i="22"/>
  <c r="AA301" i="22"/>
  <c r="AA304" i="22"/>
  <c r="AA307" i="22"/>
  <c r="AA310" i="22"/>
  <c r="AA313" i="22"/>
  <c r="AA319" i="22"/>
  <c r="AA20" i="22"/>
  <c r="AA22" i="22"/>
  <c r="AA56" i="22"/>
  <c r="AA64" i="22"/>
  <c r="AA72" i="22"/>
  <c r="AA80" i="22"/>
  <c r="AA88" i="22"/>
  <c r="AA96" i="22"/>
  <c r="AA104" i="22"/>
  <c r="AA112" i="22"/>
  <c r="AA120" i="22"/>
  <c r="AA128" i="22"/>
  <c r="AA136" i="22"/>
  <c r="AA176" i="22"/>
  <c r="AA192" i="22"/>
  <c r="AA12" i="22"/>
  <c r="AA14" i="22"/>
  <c r="AA28" i="22"/>
  <c r="AA30" i="22"/>
  <c r="AA44" i="22"/>
  <c r="AA46" i="22"/>
  <c r="AA54" i="22"/>
  <c r="AA62" i="22"/>
  <c r="AA70" i="22"/>
  <c r="AA78" i="22"/>
  <c r="AA86" i="22"/>
  <c r="AA94" i="22"/>
  <c r="AA102" i="22"/>
  <c r="AA110" i="22"/>
  <c r="AA118" i="22"/>
  <c r="AA126" i="22"/>
  <c r="AA134" i="22"/>
  <c r="AA172" i="22"/>
  <c r="AA188" i="22"/>
  <c r="AA204" i="22"/>
  <c r="AA210" i="22"/>
  <c r="AA212" i="22"/>
  <c r="AA218" i="22"/>
  <c r="AA220" i="22"/>
  <c r="AA226" i="22"/>
  <c r="AA228" i="22"/>
  <c r="R329" i="22"/>
  <c r="N329" i="22"/>
  <c r="J329" i="22"/>
  <c r="R328" i="22"/>
  <c r="N328" i="22"/>
  <c r="J328" i="22"/>
  <c r="R327" i="22"/>
  <c r="N327" i="22"/>
  <c r="J327" i="22"/>
  <c r="T326" i="22"/>
  <c r="P326" i="22"/>
  <c r="L326" i="22"/>
  <c r="H326" i="22"/>
  <c r="U329" i="22"/>
  <c r="Q329" i="22"/>
  <c r="M329" i="22"/>
  <c r="I329" i="22"/>
  <c r="U328" i="22"/>
  <c r="Q328" i="22"/>
  <c r="M328" i="22"/>
  <c r="I328" i="22"/>
  <c r="U327" i="22"/>
  <c r="Q327" i="22"/>
  <c r="M327" i="22"/>
  <c r="I327" i="22"/>
  <c r="S326" i="22"/>
  <c r="O326" i="22"/>
  <c r="K326" i="22"/>
  <c r="T329" i="22"/>
  <c r="P329" i="22"/>
  <c r="L329" i="22"/>
  <c r="H329" i="22"/>
  <c r="T328" i="22"/>
  <c r="P328" i="22"/>
  <c r="L328" i="22"/>
  <c r="H328" i="22"/>
  <c r="T327" i="22"/>
  <c r="P327" i="22"/>
  <c r="L327" i="22"/>
  <c r="H327" i="22"/>
  <c r="R326" i="22"/>
  <c r="R330" i="22" s="1"/>
  <c r="N326" i="22"/>
  <c r="N330" i="22" s="1"/>
  <c r="J326" i="22"/>
  <c r="J330" i="22" s="1"/>
  <c r="S329" i="22"/>
  <c r="O329" i="22"/>
  <c r="K329" i="22"/>
  <c r="S328" i="22"/>
  <c r="O328" i="22"/>
  <c r="K328" i="22"/>
  <c r="S327" i="22"/>
  <c r="O327" i="22"/>
  <c r="K327" i="22"/>
  <c r="U326" i="22"/>
  <c r="U330" i="22" s="1"/>
  <c r="Q326" i="22"/>
  <c r="Q330" i="22" s="1"/>
  <c r="M326" i="22"/>
  <c r="M330" i="22" s="1"/>
  <c r="I326" i="22"/>
  <c r="I330" i="22" s="1"/>
  <c r="AA9" i="22"/>
  <c r="AA17" i="22"/>
  <c r="AA25" i="22"/>
  <c r="AA33" i="22"/>
  <c r="AA41" i="22"/>
  <c r="AA49" i="22"/>
  <c r="AA207" i="22"/>
  <c r="AA215" i="22"/>
  <c r="AA223" i="22"/>
  <c r="AA231" i="22"/>
  <c r="AA236" i="22"/>
  <c r="AA240" i="22"/>
  <c r="AA211" i="22"/>
  <c r="AA219" i="22"/>
  <c r="AA227" i="22"/>
  <c r="AA235" i="22"/>
  <c r="AA13" i="21"/>
  <c r="AA18" i="21"/>
  <c r="AA20" i="21"/>
  <c r="AA23" i="21"/>
  <c r="AA25" i="21"/>
  <c r="AA35" i="21"/>
  <c r="AA45" i="21"/>
  <c r="AA50" i="21"/>
  <c r="AA52" i="21"/>
  <c r="AA55" i="21"/>
  <c r="AA68" i="21"/>
  <c r="AA88" i="21"/>
  <c r="AA93" i="21"/>
  <c r="AA100" i="21"/>
  <c r="AA120" i="21"/>
  <c r="AA125" i="21"/>
  <c r="AA132" i="21"/>
  <c r="AA152" i="21"/>
  <c r="AA157" i="21"/>
  <c r="AA164" i="21"/>
  <c r="AA177" i="21"/>
  <c r="AA179" i="21"/>
  <c r="AA182" i="21"/>
  <c r="AA185" i="21"/>
  <c r="AA187" i="21"/>
  <c r="AA190" i="21"/>
  <c r="AA193" i="21"/>
  <c r="AA195" i="21"/>
  <c r="AA198" i="21"/>
  <c r="AA201" i="21"/>
  <c r="AA203" i="21"/>
  <c r="AA209" i="21"/>
  <c r="AA214" i="21"/>
  <c r="AA216" i="21"/>
  <c r="AA220" i="21"/>
  <c r="AA223" i="21"/>
  <c r="AA226" i="21"/>
  <c r="AA232" i="21"/>
  <c r="AA246" i="21"/>
  <c r="AA249" i="21"/>
  <c r="AA252" i="21"/>
  <c r="AA259" i="21"/>
  <c r="AA262" i="21"/>
  <c r="AA265" i="21"/>
  <c r="AA268" i="21"/>
  <c r="AA275" i="21"/>
  <c r="AA278" i="21"/>
  <c r="AA281" i="21"/>
  <c r="AA284" i="21"/>
  <c r="AA291" i="21"/>
  <c r="AA294" i="21"/>
  <c r="AA297" i="21"/>
  <c r="AA300" i="21"/>
  <c r="AA307" i="21"/>
  <c r="AA310" i="21"/>
  <c r="AA313" i="21"/>
  <c r="AA316" i="21"/>
  <c r="AA323" i="21"/>
  <c r="AA9" i="21"/>
  <c r="AA19" i="21"/>
  <c r="AA29" i="21"/>
  <c r="AA34" i="21"/>
  <c r="AA36" i="21"/>
  <c r="AA39" i="21"/>
  <c r="AA41" i="21"/>
  <c r="AA51" i="21"/>
  <c r="AA60" i="21"/>
  <c r="AA72" i="21"/>
  <c r="AA77" i="21"/>
  <c r="AA84" i="21"/>
  <c r="AA104" i="21"/>
  <c r="AA109" i="21"/>
  <c r="AA116" i="21"/>
  <c r="AA136" i="21"/>
  <c r="AA141" i="21"/>
  <c r="AA148" i="21"/>
  <c r="AA168" i="21"/>
  <c r="AA173" i="21"/>
  <c r="AA175" i="21"/>
  <c r="AA178" i="21"/>
  <c r="AA181" i="21"/>
  <c r="AA183" i="21"/>
  <c r="AA186" i="21"/>
  <c r="AA189" i="21"/>
  <c r="AA191" i="21"/>
  <c r="AA194" i="21"/>
  <c r="AA197" i="21"/>
  <c r="AA199" i="21"/>
  <c r="AA202" i="21"/>
  <c r="AA205" i="21"/>
  <c r="AA215" i="21"/>
  <c r="AA224" i="21"/>
  <c r="AA229" i="21"/>
  <c r="AA231" i="21"/>
  <c r="AA234" i="21"/>
  <c r="AA236" i="21"/>
  <c r="AA241" i="21"/>
  <c r="AA244" i="21"/>
  <c r="AA251" i="21"/>
  <c r="AA254" i="21"/>
  <c r="AA257" i="21"/>
  <c r="AA260" i="21"/>
  <c r="AA267" i="21"/>
  <c r="AA270" i="21"/>
  <c r="AA273" i="21"/>
  <c r="AA276" i="21"/>
  <c r="AA283" i="21"/>
  <c r="AA286" i="21"/>
  <c r="AA289" i="21"/>
  <c r="AA292" i="21"/>
  <c r="AA299" i="21"/>
  <c r="AA302" i="21"/>
  <c r="AA305" i="21"/>
  <c r="AA308" i="21"/>
  <c r="AA315" i="21"/>
  <c r="AA318" i="21"/>
  <c r="AA321" i="21"/>
  <c r="AA324" i="21"/>
  <c r="AA22" i="21"/>
  <c r="AA38" i="21"/>
  <c r="AA54" i="21"/>
  <c r="AA206" i="21"/>
  <c r="AA14" i="21"/>
  <c r="AA30" i="21"/>
  <c r="AA46" i="21"/>
  <c r="AA61" i="21"/>
  <c r="AA63" i="21"/>
  <c r="AA222" i="21"/>
  <c r="AA62" i="21"/>
  <c r="AA67" i="21"/>
  <c r="AA71" i="21"/>
  <c r="AA75" i="21"/>
  <c r="AA79" i="21"/>
  <c r="AA83" i="21"/>
  <c r="AA87" i="21"/>
  <c r="AA91" i="21"/>
  <c r="AA95" i="21"/>
  <c r="AA99" i="21"/>
  <c r="AA103" i="21"/>
  <c r="AA107" i="21"/>
  <c r="AA111" i="21"/>
  <c r="AA115" i="21"/>
  <c r="AA119" i="21"/>
  <c r="AA123" i="21"/>
  <c r="AA127" i="21"/>
  <c r="AA131" i="21"/>
  <c r="AA135" i="21"/>
  <c r="AA139" i="21"/>
  <c r="AA143" i="21"/>
  <c r="AA147" i="21"/>
  <c r="AA151" i="21"/>
  <c r="AA155" i="21"/>
  <c r="AA159" i="21"/>
  <c r="AA163" i="21"/>
  <c r="AA167" i="21"/>
  <c r="AA171" i="21"/>
  <c r="AA58" i="21"/>
  <c r="AA66" i="21"/>
  <c r="AA70" i="21"/>
  <c r="AA74" i="21"/>
  <c r="AA78" i="21"/>
  <c r="AA82" i="21"/>
  <c r="AA86" i="21"/>
  <c r="AA90" i="21"/>
  <c r="AA94" i="21"/>
  <c r="AA98" i="21"/>
  <c r="AA102" i="21"/>
  <c r="AA106" i="21"/>
  <c r="AA110" i="21"/>
  <c r="AA114" i="21"/>
  <c r="AA118" i="21"/>
  <c r="AA122" i="21"/>
  <c r="AA126" i="21"/>
  <c r="AA130" i="21"/>
  <c r="AA134" i="21"/>
  <c r="AA138" i="21"/>
  <c r="AA142" i="21"/>
  <c r="AA146" i="21"/>
  <c r="AA150" i="21"/>
  <c r="AA154" i="21"/>
  <c r="AA158" i="21"/>
  <c r="AA162" i="21"/>
  <c r="AA166" i="21"/>
  <c r="AA170" i="21"/>
  <c r="AA174" i="21"/>
  <c r="R329" i="21"/>
  <c r="N329" i="21"/>
  <c r="J329" i="21"/>
  <c r="R328" i="21"/>
  <c r="N328" i="21"/>
  <c r="J328" i="21"/>
  <c r="R327" i="21"/>
  <c r="N327" i="21"/>
  <c r="J327" i="21"/>
  <c r="T326" i="21"/>
  <c r="P326" i="21"/>
  <c r="L326" i="21"/>
  <c r="H326" i="21"/>
  <c r="U329" i="21"/>
  <c r="Q329" i="21"/>
  <c r="M329" i="21"/>
  <c r="I329" i="21"/>
  <c r="U328" i="21"/>
  <c r="Q328" i="21"/>
  <c r="M328" i="21"/>
  <c r="I328" i="21"/>
  <c r="U327" i="21"/>
  <c r="Q327" i="21"/>
  <c r="M327" i="21"/>
  <c r="I327" i="21"/>
  <c r="S326" i="21"/>
  <c r="O326" i="21"/>
  <c r="K326" i="21"/>
  <c r="T329" i="21"/>
  <c r="P329" i="21"/>
  <c r="L329" i="21"/>
  <c r="H329" i="21"/>
  <c r="T328" i="21"/>
  <c r="P328" i="21"/>
  <c r="L328" i="21"/>
  <c r="H328" i="21"/>
  <c r="T327" i="21"/>
  <c r="P327" i="21"/>
  <c r="L327" i="21"/>
  <c r="H327" i="21"/>
  <c r="R326" i="21"/>
  <c r="N326" i="21"/>
  <c r="N330" i="21" s="1"/>
  <c r="J326" i="21"/>
  <c r="J330" i="21" s="1"/>
  <c r="S329" i="21"/>
  <c r="O329" i="21"/>
  <c r="K329" i="21"/>
  <c r="S328" i="21"/>
  <c r="O328" i="21"/>
  <c r="K328" i="21"/>
  <c r="S327" i="21"/>
  <c r="O327" i="21"/>
  <c r="K327" i="21"/>
  <c r="U326" i="21"/>
  <c r="U330" i="21" s="1"/>
  <c r="Q326" i="21"/>
  <c r="M326" i="21"/>
  <c r="M330" i="21" s="1"/>
  <c r="I326" i="21"/>
  <c r="I330" i="21" s="1"/>
  <c r="AA211" i="21"/>
  <c r="AA219" i="21"/>
  <c r="AA227" i="21"/>
  <c r="AA235" i="21"/>
  <c r="AA239" i="21"/>
  <c r="AA243" i="21"/>
  <c r="AA12" i="20"/>
  <c r="AA15" i="20"/>
  <c r="AA20" i="20"/>
  <c r="AA23" i="20"/>
  <c r="AA28" i="20"/>
  <c r="AA31" i="20"/>
  <c r="AA88" i="20"/>
  <c r="AA93" i="20"/>
  <c r="AA100" i="20"/>
  <c r="AA120" i="20"/>
  <c r="AA125" i="20"/>
  <c r="AA132" i="20"/>
  <c r="AA152" i="20"/>
  <c r="AA157" i="20"/>
  <c r="AA164" i="20"/>
  <c r="AA177" i="20"/>
  <c r="AA180" i="20"/>
  <c r="AA190" i="20"/>
  <c r="AA193" i="20"/>
  <c r="AA196" i="20"/>
  <c r="AA199" i="20"/>
  <c r="AA205" i="20"/>
  <c r="AA217" i="20"/>
  <c r="AA224" i="20"/>
  <c r="AA228" i="20"/>
  <c r="AA231" i="20"/>
  <c r="AA234" i="20"/>
  <c r="AA255" i="20"/>
  <c r="AA258" i="20"/>
  <c r="AA261" i="20"/>
  <c r="AA264" i="20"/>
  <c r="AA271" i="20"/>
  <c r="AA274" i="20"/>
  <c r="AA277" i="20"/>
  <c r="AA280" i="20"/>
  <c r="AA287" i="20"/>
  <c r="AA290" i="20"/>
  <c r="AA293" i="20"/>
  <c r="AA296" i="20"/>
  <c r="AA303" i="20"/>
  <c r="AA306" i="20"/>
  <c r="AA312" i="20"/>
  <c r="AA319" i="20"/>
  <c r="AA10" i="20"/>
  <c r="AA13" i="20"/>
  <c r="AA18" i="20"/>
  <c r="AA21" i="20"/>
  <c r="AA26" i="20"/>
  <c r="AA29" i="20"/>
  <c r="AA76" i="20"/>
  <c r="AA96" i="20"/>
  <c r="AA101" i="20"/>
  <c r="AA108" i="20"/>
  <c r="AA128" i="20"/>
  <c r="AA133" i="20"/>
  <c r="AA140" i="20"/>
  <c r="AA160" i="20"/>
  <c r="AA165" i="20"/>
  <c r="AA168" i="20"/>
  <c r="AA181" i="20"/>
  <c r="AA184" i="20"/>
  <c r="AA194" i="20"/>
  <c r="AA197" i="20"/>
  <c r="AA200" i="20"/>
  <c r="AA203" i="20"/>
  <c r="AA206" i="20"/>
  <c r="AA208" i="20"/>
  <c r="AA212" i="20"/>
  <c r="AA215" i="20"/>
  <c r="AA218" i="20"/>
  <c r="AA229" i="20"/>
  <c r="AA241" i="20"/>
  <c r="AA249" i="20"/>
  <c r="AA259" i="20"/>
  <c r="AA262" i="20"/>
  <c r="AA265" i="20"/>
  <c r="AA275" i="20"/>
  <c r="AA278" i="20"/>
  <c r="AA281" i="20"/>
  <c r="AA291" i="20"/>
  <c r="AA294" i="20"/>
  <c r="AA297" i="20"/>
  <c r="AA300" i="20"/>
  <c r="AA307" i="20"/>
  <c r="AA310" i="20"/>
  <c r="AA313" i="20"/>
  <c r="AA316" i="20"/>
  <c r="AA323" i="20"/>
  <c r="AA320" i="20"/>
  <c r="AA9" i="20"/>
  <c r="AA14" i="20"/>
  <c r="AA17" i="20"/>
  <c r="AA22" i="20"/>
  <c r="AA25" i="20"/>
  <c r="AA30" i="20"/>
  <c r="AA80" i="20"/>
  <c r="AA85" i="20"/>
  <c r="AA92" i="20"/>
  <c r="AA112" i="20"/>
  <c r="AA117" i="20"/>
  <c r="AA124" i="20"/>
  <c r="AA144" i="20"/>
  <c r="AA149" i="20"/>
  <c r="AA156" i="20"/>
  <c r="AA173" i="20"/>
  <c r="AA176" i="20"/>
  <c r="AA186" i="20"/>
  <c r="AA189" i="20"/>
  <c r="AA192" i="20"/>
  <c r="AA195" i="20"/>
  <c r="AA202" i="20"/>
  <c r="AA207" i="20"/>
  <c r="AA216" i="20"/>
  <c r="AA221" i="20"/>
  <c r="AA308" i="20"/>
  <c r="AA32" i="20"/>
  <c r="AA214" i="20"/>
  <c r="AA35" i="20"/>
  <c r="AA43" i="20"/>
  <c r="AA51" i="20"/>
  <c r="AA59" i="20"/>
  <c r="AA67" i="20"/>
  <c r="AA230" i="20"/>
  <c r="R329" i="20"/>
  <c r="N329" i="20"/>
  <c r="J329" i="20"/>
  <c r="R328" i="20"/>
  <c r="N328" i="20"/>
  <c r="J328" i="20"/>
  <c r="R327" i="20"/>
  <c r="N327" i="20"/>
  <c r="J327" i="20"/>
  <c r="T326" i="20"/>
  <c r="P326" i="20"/>
  <c r="L326" i="20"/>
  <c r="H326" i="20"/>
  <c r="U329" i="20"/>
  <c r="Q329" i="20"/>
  <c r="M329" i="20"/>
  <c r="I329" i="20"/>
  <c r="U328" i="20"/>
  <c r="Q328" i="20"/>
  <c r="M328" i="20"/>
  <c r="I328" i="20"/>
  <c r="U327" i="20"/>
  <c r="Q327" i="20"/>
  <c r="M327" i="20"/>
  <c r="I327" i="20"/>
  <c r="S326" i="20"/>
  <c r="O326" i="20"/>
  <c r="K326" i="20"/>
  <c r="T329" i="20"/>
  <c r="P329" i="20"/>
  <c r="L329" i="20"/>
  <c r="H329" i="20"/>
  <c r="T328" i="20"/>
  <c r="P328" i="20"/>
  <c r="L328" i="20"/>
  <c r="H328" i="20"/>
  <c r="T327" i="20"/>
  <c r="P327" i="20"/>
  <c r="L327" i="20"/>
  <c r="H327" i="20"/>
  <c r="R326" i="20"/>
  <c r="R330" i="20" s="1"/>
  <c r="N326" i="20"/>
  <c r="N330" i="20" s="1"/>
  <c r="J326" i="20"/>
  <c r="J330" i="20" s="1"/>
  <c r="S329" i="20"/>
  <c r="O329" i="20"/>
  <c r="K329" i="20"/>
  <c r="S328" i="20"/>
  <c r="O328" i="20"/>
  <c r="K328" i="20"/>
  <c r="S327" i="20"/>
  <c r="O327" i="20"/>
  <c r="K327" i="20"/>
  <c r="U326" i="20"/>
  <c r="U330" i="20" s="1"/>
  <c r="Q326" i="20"/>
  <c r="Q330" i="20" s="1"/>
  <c r="M326" i="20"/>
  <c r="M330" i="20" s="1"/>
  <c r="I326" i="20"/>
  <c r="I330" i="20" s="1"/>
  <c r="AA34" i="20"/>
  <c r="AA42" i="20"/>
  <c r="AA50" i="20"/>
  <c r="AA58" i="20"/>
  <c r="AA66" i="20"/>
  <c r="AA74" i="20"/>
  <c r="AA78" i="20"/>
  <c r="AA82" i="20"/>
  <c r="AA86" i="20"/>
  <c r="AA90" i="20"/>
  <c r="AA94" i="20"/>
  <c r="AA98" i="20"/>
  <c r="AA102" i="20"/>
  <c r="AA106" i="20"/>
  <c r="AA110" i="20"/>
  <c r="AA114" i="20"/>
  <c r="AA118" i="20"/>
  <c r="AA122" i="20"/>
  <c r="AA126" i="20"/>
  <c r="AA130" i="20"/>
  <c r="AA134" i="20"/>
  <c r="AA138" i="20"/>
  <c r="AA142" i="20"/>
  <c r="AA146" i="20"/>
  <c r="AA150" i="20"/>
  <c r="AA154" i="20"/>
  <c r="AA158" i="20"/>
  <c r="AA162" i="20"/>
  <c r="AA166" i="20"/>
  <c r="AA170" i="20"/>
  <c r="AA174" i="20"/>
  <c r="AA178" i="20"/>
  <c r="AA187" i="20"/>
  <c r="AA38" i="20"/>
  <c r="AA46" i="20"/>
  <c r="AA54" i="20"/>
  <c r="AA62" i="20"/>
  <c r="AA70" i="20"/>
  <c r="AA75" i="20"/>
  <c r="AA79" i="20"/>
  <c r="AA83" i="20"/>
  <c r="AA87" i="20"/>
  <c r="AA91" i="20"/>
  <c r="AA95" i="20"/>
  <c r="AA99" i="20"/>
  <c r="AA103" i="20"/>
  <c r="AA107" i="20"/>
  <c r="AA111" i="20"/>
  <c r="AA115" i="20"/>
  <c r="AA119" i="20"/>
  <c r="AA123" i="20"/>
  <c r="AA127" i="20"/>
  <c r="AA131" i="20"/>
  <c r="AA135" i="20"/>
  <c r="AA139" i="20"/>
  <c r="AA143" i="20"/>
  <c r="AA147" i="20"/>
  <c r="AA151" i="20"/>
  <c r="AA155" i="20"/>
  <c r="AA159" i="20"/>
  <c r="AA163" i="20"/>
  <c r="AA167" i="20"/>
  <c r="AA171" i="20"/>
  <c r="AA175" i="20"/>
  <c r="AA179" i="20"/>
  <c r="AA183" i="20"/>
  <c r="AA211" i="20"/>
  <c r="AA219" i="20"/>
  <c r="AA227" i="20"/>
  <c r="AA235" i="20"/>
  <c r="AA240" i="20"/>
  <c r="AA244" i="20"/>
  <c r="AA248" i="20"/>
  <c r="AA252" i="20"/>
  <c r="AA260" i="20"/>
  <c r="AA268" i="20"/>
  <c r="AA276" i="20"/>
  <c r="AA284" i="20"/>
  <c r="AA8" i="19"/>
  <c r="AA11" i="19"/>
  <c r="AA19" i="19"/>
  <c r="AA30" i="19"/>
  <c r="AA38" i="19"/>
  <c r="AA47" i="19"/>
  <c r="AA52" i="19"/>
  <c r="AA59" i="19"/>
  <c r="AA61" i="19"/>
  <c r="AA66" i="19"/>
  <c r="AA69" i="19"/>
  <c r="AA72" i="19"/>
  <c r="AA83" i="19"/>
  <c r="AA86" i="19"/>
  <c r="AA91" i="19"/>
  <c r="AA94" i="19"/>
  <c r="AA99" i="19"/>
  <c r="AA102" i="19"/>
  <c r="AA107" i="19"/>
  <c r="AA110" i="19"/>
  <c r="AA115" i="19"/>
  <c r="AA118" i="19"/>
  <c r="AA123" i="19"/>
  <c r="AA126" i="19"/>
  <c r="AA131" i="19"/>
  <c r="AA134" i="19"/>
  <c r="AA139" i="19"/>
  <c r="AA142" i="19"/>
  <c r="AA147" i="19"/>
  <c r="AA150" i="19"/>
  <c r="AA155" i="19"/>
  <c r="AA158" i="19"/>
  <c r="AA163" i="19"/>
  <c r="AA166" i="19"/>
  <c r="AA171" i="19"/>
  <c r="AA174" i="19"/>
  <c r="AA179" i="19"/>
  <c r="AA184" i="19"/>
  <c r="AA186" i="19"/>
  <c r="AA189" i="19"/>
  <c r="AA191" i="19"/>
  <c r="AA201" i="19"/>
  <c r="AA209" i="19"/>
  <c r="AA211" i="19"/>
  <c r="AA216" i="19"/>
  <c r="AA219" i="19"/>
  <c r="AA222" i="19"/>
  <c r="AA224" i="19"/>
  <c r="AA229" i="19"/>
  <c r="AA234" i="19"/>
  <c r="AA237" i="19"/>
  <c r="AA249" i="19"/>
  <c r="AA252" i="19"/>
  <c r="AA255" i="19"/>
  <c r="AA265" i="19"/>
  <c r="AA268" i="19"/>
  <c r="AA271" i="19"/>
  <c r="AA281" i="19"/>
  <c r="AA284" i="19"/>
  <c r="AA287" i="19"/>
  <c r="AA297" i="19"/>
  <c r="AA300" i="19"/>
  <c r="AA303" i="19"/>
  <c r="AA313" i="19"/>
  <c r="AA316" i="19"/>
  <c r="AA319" i="19"/>
  <c r="AA12" i="19"/>
  <c r="AA15" i="19"/>
  <c r="AA20" i="19"/>
  <c r="AA27" i="19"/>
  <c r="AA29" i="19"/>
  <c r="AA34" i="19"/>
  <c r="AA37" i="19"/>
  <c r="AA40" i="19"/>
  <c r="AA51" i="19"/>
  <c r="AA62" i="19"/>
  <c r="AA70" i="19"/>
  <c r="AA79" i="19"/>
  <c r="AA84" i="19"/>
  <c r="AA87" i="19"/>
  <c r="AA90" i="19"/>
  <c r="AA95" i="19"/>
  <c r="AA98" i="19"/>
  <c r="AA103" i="19"/>
  <c r="AA106" i="19"/>
  <c r="AA111" i="19"/>
  <c r="AA114" i="19"/>
  <c r="AA119" i="19"/>
  <c r="AA122" i="19"/>
  <c r="AA127" i="19"/>
  <c r="AA130" i="19"/>
  <c r="AA135" i="19"/>
  <c r="AA138" i="19"/>
  <c r="AA143" i="19"/>
  <c r="AA146" i="19"/>
  <c r="AA151" i="19"/>
  <c r="AA154" i="19"/>
  <c r="AA159" i="19"/>
  <c r="AA162" i="19"/>
  <c r="AA167" i="19"/>
  <c r="AA170" i="19"/>
  <c r="AA175" i="19"/>
  <c r="AA178" i="19"/>
  <c r="AA185" i="19"/>
  <c r="AA195" i="19"/>
  <c r="AA200" i="19"/>
  <c r="AA202" i="19"/>
  <c r="AA205" i="19"/>
  <c r="AA212" i="19"/>
  <c r="AA215" i="19"/>
  <c r="AA220" i="19"/>
  <c r="AA223" i="19"/>
  <c r="AA233" i="19"/>
  <c r="AA241" i="19"/>
  <c r="AA243" i="19"/>
  <c r="AA247" i="19"/>
  <c r="AA257" i="19"/>
  <c r="AA260" i="19"/>
  <c r="AA263" i="19"/>
  <c r="AA311" i="19"/>
  <c r="AA16" i="19"/>
  <c r="AA48" i="19"/>
  <c r="AA80" i="19"/>
  <c r="AA92" i="19"/>
  <c r="AA100" i="19"/>
  <c r="AA108" i="19"/>
  <c r="AA116" i="19"/>
  <c r="AA124" i="19"/>
  <c r="AA132" i="19"/>
  <c r="AA140" i="19"/>
  <c r="AA148" i="19"/>
  <c r="AA156" i="19"/>
  <c r="AA164" i="19"/>
  <c r="AA172" i="19"/>
  <c r="AA180" i="19"/>
  <c r="AA196" i="19"/>
  <c r="AA230" i="19"/>
  <c r="AA246" i="19"/>
  <c r="AA10" i="19"/>
  <c r="AA32" i="19"/>
  <c r="AA64" i="19"/>
  <c r="AA88" i="19"/>
  <c r="AA96" i="19"/>
  <c r="AA104" i="19"/>
  <c r="AA112" i="19"/>
  <c r="AA120" i="19"/>
  <c r="AA128" i="19"/>
  <c r="AA136" i="19"/>
  <c r="AA144" i="19"/>
  <c r="AA152" i="19"/>
  <c r="AA160" i="19"/>
  <c r="AA168" i="19"/>
  <c r="AA176" i="19"/>
  <c r="AA188" i="19"/>
  <c r="AA214" i="19"/>
  <c r="AA17" i="19"/>
  <c r="AA25" i="19"/>
  <c r="AA33" i="19"/>
  <c r="AA41" i="19"/>
  <c r="AA49" i="19"/>
  <c r="R329" i="19"/>
  <c r="N329" i="19"/>
  <c r="J329" i="19"/>
  <c r="R328" i="19"/>
  <c r="N328" i="19"/>
  <c r="J328" i="19"/>
  <c r="R327" i="19"/>
  <c r="N327" i="19"/>
  <c r="J327" i="19"/>
  <c r="T326" i="19"/>
  <c r="P326" i="19"/>
  <c r="L326" i="19"/>
  <c r="H326" i="19"/>
  <c r="U329" i="19"/>
  <c r="Q329" i="19"/>
  <c r="M329" i="19"/>
  <c r="I329" i="19"/>
  <c r="U328" i="19"/>
  <c r="Q328" i="19"/>
  <c r="M328" i="19"/>
  <c r="I328" i="19"/>
  <c r="U327" i="19"/>
  <c r="Q327" i="19"/>
  <c r="M327" i="19"/>
  <c r="I327" i="19"/>
  <c r="S326" i="19"/>
  <c r="O326" i="19"/>
  <c r="K326" i="19"/>
  <c r="T329" i="19"/>
  <c r="P329" i="19"/>
  <c r="L329" i="19"/>
  <c r="H329" i="19"/>
  <c r="T328" i="19"/>
  <c r="P328" i="19"/>
  <c r="L328" i="19"/>
  <c r="H328" i="19"/>
  <c r="T327" i="19"/>
  <c r="P327" i="19"/>
  <c r="L327" i="19"/>
  <c r="H327" i="19"/>
  <c r="R326" i="19"/>
  <c r="R330" i="19" s="1"/>
  <c r="N326" i="19"/>
  <c r="N330" i="19" s="1"/>
  <c r="J326" i="19"/>
  <c r="J330" i="19" s="1"/>
  <c r="S329" i="19"/>
  <c r="O329" i="19"/>
  <c r="K329" i="19"/>
  <c r="S328" i="19"/>
  <c r="O328" i="19"/>
  <c r="K328" i="19"/>
  <c r="S327" i="19"/>
  <c r="O327" i="19"/>
  <c r="K327" i="19"/>
  <c r="U326" i="19"/>
  <c r="U330" i="19" s="1"/>
  <c r="Q326" i="19"/>
  <c r="Q330" i="19" s="1"/>
  <c r="M326" i="19"/>
  <c r="M330" i="19" s="1"/>
  <c r="I326" i="19"/>
  <c r="I330" i="19" s="1"/>
  <c r="AA57" i="19"/>
  <c r="AA65" i="19"/>
  <c r="AA73" i="19"/>
  <c r="AA81" i="19"/>
  <c r="AA254" i="19"/>
  <c r="AA262" i="19"/>
  <c r="AA270" i="19"/>
  <c r="AA278" i="19"/>
  <c r="AA286" i="19"/>
  <c r="AA294" i="19"/>
  <c r="AA302" i="19"/>
  <c r="AA310" i="19"/>
  <c r="AA318" i="19"/>
  <c r="AA250" i="19"/>
  <c r="AA258" i="19"/>
  <c r="AA266" i="19"/>
  <c r="AA274" i="19"/>
  <c r="AA282" i="19"/>
  <c r="AA290" i="19"/>
  <c r="AA298" i="19"/>
  <c r="AA306" i="19"/>
  <c r="AA314" i="19"/>
  <c r="AA322" i="19"/>
  <c r="G321" i="15"/>
  <c r="G313" i="15"/>
  <c r="G11" i="15"/>
  <c r="G8" i="15"/>
  <c r="G9" i="15"/>
  <c r="T330" i="23" l="1"/>
  <c r="K330" i="23"/>
  <c r="L330" i="23"/>
  <c r="M331" i="23"/>
  <c r="M333" i="23"/>
  <c r="I333" i="23"/>
  <c r="I331" i="23"/>
  <c r="O330" i="23"/>
  <c r="P330" i="23"/>
  <c r="N331" i="23"/>
  <c r="N333" i="23"/>
  <c r="S330" i="23"/>
  <c r="U330" i="23"/>
  <c r="Q331" i="23" s="1"/>
  <c r="H330" i="23"/>
  <c r="K330" i="22"/>
  <c r="L330" i="22"/>
  <c r="M331" i="22"/>
  <c r="M333" i="22"/>
  <c r="I333" i="22"/>
  <c r="I331" i="22"/>
  <c r="O330" i="22"/>
  <c r="P330" i="22"/>
  <c r="N331" i="22"/>
  <c r="N333" i="22"/>
  <c r="S330" i="22"/>
  <c r="Q331" i="22" s="1"/>
  <c r="T330" i="22"/>
  <c r="H330" i="22"/>
  <c r="R330" i="21"/>
  <c r="Q330" i="21"/>
  <c r="M331" i="21"/>
  <c r="M333" i="21"/>
  <c r="I333" i="21"/>
  <c r="I331" i="21"/>
  <c r="O330" i="21"/>
  <c r="P330" i="21"/>
  <c r="N331" i="21"/>
  <c r="N333" i="21"/>
  <c r="S330" i="21"/>
  <c r="T330" i="21"/>
  <c r="H330" i="21"/>
  <c r="K330" i="21"/>
  <c r="L330" i="21"/>
  <c r="K330" i="20"/>
  <c r="L330" i="20"/>
  <c r="M331" i="20"/>
  <c r="M333" i="20"/>
  <c r="I333" i="20"/>
  <c r="I331" i="20"/>
  <c r="O330" i="20"/>
  <c r="P330" i="20"/>
  <c r="N331" i="20"/>
  <c r="N333" i="20"/>
  <c r="S330" i="20"/>
  <c r="Q331" i="20" s="1"/>
  <c r="T330" i="20"/>
  <c r="Q333" i="20" s="1"/>
  <c r="H330" i="20"/>
  <c r="M331" i="19"/>
  <c r="M333" i="19"/>
  <c r="I333" i="19"/>
  <c r="I331" i="19"/>
  <c r="O330" i="19"/>
  <c r="P330" i="19"/>
  <c r="N331" i="19"/>
  <c r="N333" i="19"/>
  <c r="S330" i="19"/>
  <c r="T330" i="19"/>
  <c r="Q333" i="19" s="1"/>
  <c r="Q331" i="19"/>
  <c r="H330" i="19"/>
  <c r="K330" i="19"/>
  <c r="L330" i="19"/>
  <c r="F137" i="1"/>
  <c r="F136" i="1"/>
  <c r="F135" i="1"/>
  <c r="F134" i="1"/>
  <c r="F133" i="1"/>
  <c r="F132" i="1"/>
  <c r="L27" i="1"/>
  <c r="F27" i="1"/>
  <c r="L26" i="1"/>
  <c r="F26" i="1"/>
  <c r="L25" i="1"/>
  <c r="F25" i="1"/>
  <c r="L24" i="1"/>
  <c r="F24" i="1"/>
  <c r="L23" i="1"/>
  <c r="F23" i="1"/>
  <c r="L22" i="1"/>
  <c r="F22" i="1"/>
  <c r="L10" i="1"/>
  <c r="C10" i="1"/>
  <c r="F10" i="1" s="1"/>
  <c r="L9" i="1"/>
  <c r="C9" i="1"/>
  <c r="F9" i="1" s="1"/>
  <c r="L8" i="1"/>
  <c r="C8" i="1"/>
  <c r="F8" i="1" s="1"/>
  <c r="L7" i="1"/>
  <c r="C7" i="1"/>
  <c r="F7" i="1" s="1"/>
  <c r="L6" i="1"/>
  <c r="C6" i="1"/>
  <c r="F6" i="1" s="1"/>
  <c r="L5" i="1"/>
  <c r="C5" i="1"/>
  <c r="F5" i="1" s="1"/>
  <c r="L54" i="17"/>
  <c r="K54" i="17"/>
  <c r="J54" i="17"/>
  <c r="I54" i="17"/>
  <c r="H54" i="17"/>
  <c r="G54" i="17"/>
  <c r="D54" i="17"/>
  <c r="L53" i="17"/>
  <c r="K53" i="17"/>
  <c r="J53" i="17"/>
  <c r="I53" i="17"/>
  <c r="H53" i="17"/>
  <c r="G53" i="17"/>
  <c r="D53" i="17"/>
  <c r="L52" i="17"/>
  <c r="K52" i="17"/>
  <c r="J52" i="17"/>
  <c r="I52" i="17"/>
  <c r="H52" i="17"/>
  <c r="G52" i="17"/>
  <c r="D52" i="17"/>
  <c r="L51" i="17"/>
  <c r="K51" i="17"/>
  <c r="J51" i="17"/>
  <c r="I51" i="17"/>
  <c r="H51" i="17"/>
  <c r="G51" i="17"/>
  <c r="D51" i="17"/>
  <c r="L50" i="17"/>
  <c r="K50" i="17"/>
  <c r="J50" i="17"/>
  <c r="I50" i="17"/>
  <c r="H50" i="17"/>
  <c r="G50" i="17"/>
  <c r="D50" i="17"/>
  <c r="L49" i="17"/>
  <c r="K49" i="17"/>
  <c r="J49" i="17"/>
  <c r="I49" i="17"/>
  <c r="H49" i="17"/>
  <c r="G49" i="17"/>
  <c r="D49" i="17"/>
  <c r="L48" i="17"/>
  <c r="K48" i="17"/>
  <c r="J48" i="17"/>
  <c r="I48" i="17"/>
  <c r="H48" i="17"/>
  <c r="G48" i="17"/>
  <c r="D48" i="17"/>
  <c r="L47" i="17"/>
  <c r="K47" i="17"/>
  <c r="J47" i="17"/>
  <c r="I47" i="17"/>
  <c r="H47" i="17"/>
  <c r="G47" i="17"/>
  <c r="D47" i="17"/>
  <c r="L46" i="17"/>
  <c r="K46" i="17"/>
  <c r="J46" i="17"/>
  <c r="I46" i="17"/>
  <c r="H46" i="17"/>
  <c r="G46" i="17"/>
  <c r="D46" i="17"/>
  <c r="L45" i="17"/>
  <c r="K45" i="17"/>
  <c r="J45" i="17"/>
  <c r="I45" i="17"/>
  <c r="H45" i="17"/>
  <c r="G45" i="17"/>
  <c r="D45" i="17"/>
  <c r="L44" i="17"/>
  <c r="K44" i="17"/>
  <c r="J44" i="17"/>
  <c r="I44" i="17"/>
  <c r="H44" i="17"/>
  <c r="G44" i="17"/>
  <c r="D44" i="17"/>
  <c r="L43" i="17"/>
  <c r="K43" i="17"/>
  <c r="J43" i="17"/>
  <c r="I43" i="17"/>
  <c r="H43" i="17"/>
  <c r="G43" i="17"/>
  <c r="D43" i="17"/>
  <c r="L42" i="17"/>
  <c r="K42" i="17"/>
  <c r="J42" i="17"/>
  <c r="I42" i="17"/>
  <c r="H42" i="17"/>
  <c r="G42" i="17"/>
  <c r="D42" i="17"/>
  <c r="L41" i="17"/>
  <c r="K41" i="17"/>
  <c r="J41" i="17"/>
  <c r="I41" i="17"/>
  <c r="H41" i="17"/>
  <c r="G41" i="17"/>
  <c r="D41" i="17"/>
  <c r="L40" i="17"/>
  <c r="K40" i="17"/>
  <c r="J40" i="17"/>
  <c r="I40" i="17"/>
  <c r="H40" i="17"/>
  <c r="G40" i="17"/>
  <c r="D40" i="17"/>
  <c r="L39" i="17"/>
  <c r="K39" i="17"/>
  <c r="J39" i="17"/>
  <c r="I39" i="17"/>
  <c r="H39" i="17"/>
  <c r="G39" i="17"/>
  <c r="D39" i="17"/>
  <c r="L38" i="17"/>
  <c r="K38" i="17"/>
  <c r="J38" i="17"/>
  <c r="I38" i="17"/>
  <c r="H38" i="17"/>
  <c r="G38" i="17"/>
  <c r="D38" i="17"/>
  <c r="L37" i="17"/>
  <c r="K37" i="17"/>
  <c r="J37" i="17"/>
  <c r="I37" i="17"/>
  <c r="H37" i="17"/>
  <c r="G37" i="17"/>
  <c r="D37" i="17"/>
  <c r="L36" i="17"/>
  <c r="K36" i="17"/>
  <c r="J36" i="17"/>
  <c r="I36" i="17"/>
  <c r="H36" i="17"/>
  <c r="G36" i="17"/>
  <c r="D36" i="17"/>
  <c r="L35" i="17"/>
  <c r="K35" i="17"/>
  <c r="J35" i="17"/>
  <c r="I35" i="17"/>
  <c r="H35" i="17"/>
  <c r="G35" i="17"/>
  <c r="D35" i="17"/>
  <c r="L34" i="17"/>
  <c r="K34" i="17"/>
  <c r="J34" i="17"/>
  <c r="I34" i="17"/>
  <c r="H34" i="17"/>
  <c r="G34" i="17"/>
  <c r="D34" i="17"/>
  <c r="L33" i="17"/>
  <c r="K33" i="17"/>
  <c r="J33" i="17"/>
  <c r="I33" i="17"/>
  <c r="H33" i="17"/>
  <c r="G33" i="17"/>
  <c r="D33" i="17"/>
  <c r="L32" i="17"/>
  <c r="K32" i="17"/>
  <c r="J32" i="17"/>
  <c r="I32" i="17"/>
  <c r="H32" i="17"/>
  <c r="G32" i="17"/>
  <c r="D32" i="17"/>
  <c r="L31" i="17"/>
  <c r="K31" i="17"/>
  <c r="J31" i="17"/>
  <c r="I31" i="17"/>
  <c r="H31" i="17"/>
  <c r="G31" i="17"/>
  <c r="D31" i="17"/>
  <c r="L30" i="17"/>
  <c r="K30" i="17"/>
  <c r="J30" i="17"/>
  <c r="I30" i="17"/>
  <c r="H30" i="17"/>
  <c r="G30" i="17"/>
  <c r="D30" i="17"/>
  <c r="L29" i="17"/>
  <c r="K29" i="17"/>
  <c r="J29" i="17"/>
  <c r="I29" i="17"/>
  <c r="H29" i="17"/>
  <c r="G29" i="17"/>
  <c r="D29" i="17"/>
  <c r="L28" i="17"/>
  <c r="K28" i="17"/>
  <c r="J28" i="17"/>
  <c r="I28" i="17"/>
  <c r="H28" i="17"/>
  <c r="G28" i="17"/>
  <c r="D28" i="17"/>
  <c r="L27" i="17"/>
  <c r="K27" i="17"/>
  <c r="J27" i="17"/>
  <c r="I27" i="17"/>
  <c r="H27" i="17"/>
  <c r="G27" i="17"/>
  <c r="D27" i="17"/>
  <c r="L26" i="17"/>
  <c r="K26" i="17"/>
  <c r="J26" i="17"/>
  <c r="I26" i="17"/>
  <c r="H26" i="17"/>
  <c r="G26" i="17"/>
  <c r="D26" i="17"/>
  <c r="L25" i="17"/>
  <c r="K25" i="17"/>
  <c r="J25" i="17"/>
  <c r="I25" i="17"/>
  <c r="H25" i="17"/>
  <c r="G25" i="17"/>
  <c r="D25" i="17"/>
  <c r="L24" i="17"/>
  <c r="K24" i="17"/>
  <c r="J24" i="17"/>
  <c r="I24" i="17"/>
  <c r="H24" i="17"/>
  <c r="G24" i="17"/>
  <c r="D24" i="17"/>
  <c r="L23" i="17"/>
  <c r="K23" i="17"/>
  <c r="J23" i="17"/>
  <c r="I23" i="17"/>
  <c r="H23" i="17"/>
  <c r="G23" i="17"/>
  <c r="D23" i="17"/>
  <c r="L22" i="17"/>
  <c r="K22" i="17"/>
  <c r="J22" i="17"/>
  <c r="I22" i="17"/>
  <c r="H22" i="17"/>
  <c r="G22" i="17"/>
  <c r="D22" i="17"/>
  <c r="L21" i="17"/>
  <c r="K21" i="17"/>
  <c r="J21" i="17"/>
  <c r="I21" i="17"/>
  <c r="H21" i="17"/>
  <c r="G21" i="17"/>
  <c r="D21" i="17"/>
  <c r="L20" i="17"/>
  <c r="K20" i="17"/>
  <c r="J20" i="17"/>
  <c r="I20" i="17"/>
  <c r="H20" i="17"/>
  <c r="G20" i="17"/>
  <c r="D20" i="17"/>
  <c r="L19" i="17"/>
  <c r="K19" i="17"/>
  <c r="J19" i="17"/>
  <c r="I19" i="17"/>
  <c r="H19" i="17"/>
  <c r="G19" i="17"/>
  <c r="D19" i="17"/>
  <c r="L18" i="17"/>
  <c r="K18" i="17"/>
  <c r="J18" i="17"/>
  <c r="I18" i="17"/>
  <c r="H18" i="17"/>
  <c r="G18" i="17"/>
  <c r="D18" i="17"/>
  <c r="L17" i="17"/>
  <c r="K17" i="17"/>
  <c r="J17" i="17"/>
  <c r="I17" i="17"/>
  <c r="H17" i="17"/>
  <c r="G17" i="17"/>
  <c r="D17" i="17"/>
  <c r="L16" i="17"/>
  <c r="K16" i="17"/>
  <c r="J16" i="17"/>
  <c r="I16" i="17"/>
  <c r="H16" i="17"/>
  <c r="G16" i="17"/>
  <c r="D16" i="17"/>
  <c r="L15" i="17"/>
  <c r="K15" i="17"/>
  <c r="J15" i="17"/>
  <c r="I15" i="17"/>
  <c r="H15" i="17"/>
  <c r="G15" i="17"/>
  <c r="D15" i="17"/>
  <c r="L14" i="17"/>
  <c r="K14" i="17"/>
  <c r="J14" i="17"/>
  <c r="I14" i="17"/>
  <c r="H14" i="17"/>
  <c r="G14" i="17"/>
  <c r="D14" i="17"/>
  <c r="L13" i="17"/>
  <c r="K13" i="17"/>
  <c r="J13" i="17"/>
  <c r="I13" i="17"/>
  <c r="H13" i="17"/>
  <c r="G13" i="17"/>
  <c r="D13" i="17"/>
  <c r="L12" i="17"/>
  <c r="K12" i="17"/>
  <c r="J12" i="17"/>
  <c r="I12" i="17"/>
  <c r="H12" i="17"/>
  <c r="G12" i="17"/>
  <c r="D12" i="17"/>
  <c r="L11" i="17"/>
  <c r="K11" i="17"/>
  <c r="J11" i="17"/>
  <c r="I11" i="17"/>
  <c r="H11" i="17"/>
  <c r="G11" i="17"/>
  <c r="D11" i="17"/>
  <c r="L10" i="17"/>
  <c r="K10" i="17"/>
  <c r="J10" i="17"/>
  <c r="I10" i="17"/>
  <c r="H10" i="17"/>
  <c r="G10" i="17"/>
  <c r="D10" i="17"/>
  <c r="L9" i="17"/>
  <c r="K9" i="17"/>
  <c r="J9" i="17"/>
  <c r="I9" i="17"/>
  <c r="H9" i="17"/>
  <c r="G9" i="17"/>
  <c r="D9" i="17"/>
  <c r="L8" i="17"/>
  <c r="K8" i="17"/>
  <c r="J8" i="17"/>
  <c r="I8" i="17"/>
  <c r="H8" i="17"/>
  <c r="G8" i="17"/>
  <c r="D8" i="17"/>
  <c r="L7" i="17"/>
  <c r="K7" i="17"/>
  <c r="J7" i="17"/>
  <c r="I7" i="17"/>
  <c r="H7" i="17"/>
  <c r="G7" i="17"/>
  <c r="D7" i="17"/>
  <c r="L6" i="17"/>
  <c r="K6" i="17"/>
  <c r="J6" i="17"/>
  <c r="I6" i="17"/>
  <c r="H6" i="17"/>
  <c r="G6" i="17"/>
  <c r="D6" i="17"/>
  <c r="L5" i="17"/>
  <c r="K5" i="17"/>
  <c r="J5" i="17"/>
  <c r="I5" i="17"/>
  <c r="H5" i="17"/>
  <c r="G5" i="17"/>
  <c r="D5" i="17"/>
  <c r="L4" i="17"/>
  <c r="K4" i="17"/>
  <c r="J4" i="17"/>
  <c r="I4" i="17"/>
  <c r="H4" i="17"/>
  <c r="G4" i="17"/>
  <c r="D4" i="17"/>
  <c r="L3" i="17"/>
  <c r="K3" i="17"/>
  <c r="J3" i="17"/>
  <c r="I3" i="17"/>
  <c r="H3" i="17"/>
  <c r="G3" i="17"/>
  <c r="D3" i="17"/>
  <c r="B3" i="17"/>
  <c r="Q332" i="23" s="1"/>
  <c r="L2" i="17"/>
  <c r="K2" i="17"/>
  <c r="J2" i="17"/>
  <c r="I2" i="17"/>
  <c r="H2" i="17"/>
  <c r="G2" i="17"/>
  <c r="D2" i="17"/>
  <c r="B2" i="17"/>
  <c r="A2" i="17"/>
  <c r="Z329" i="15"/>
  <c r="AA329" i="15" s="1"/>
  <c r="Z328" i="15"/>
  <c r="AA328" i="15" s="1"/>
  <c r="Z327" i="15"/>
  <c r="AA327" i="15" s="1"/>
  <c r="Z325" i="15"/>
  <c r="G325" i="15"/>
  <c r="E325" i="15"/>
  <c r="F325" i="15" s="1"/>
  <c r="C325" i="15" s="1"/>
  <c r="D325" i="15"/>
  <c r="Z324" i="15"/>
  <c r="G324" i="15"/>
  <c r="E324" i="15"/>
  <c r="F324" i="15" s="1"/>
  <c r="C324" i="15" s="1"/>
  <c r="D324" i="15"/>
  <c r="Z323" i="15"/>
  <c r="G323" i="15"/>
  <c r="E323" i="15"/>
  <c r="F323" i="15" s="1"/>
  <c r="C323" i="15" s="1"/>
  <c r="D323" i="15"/>
  <c r="Z322" i="15"/>
  <c r="G322" i="15"/>
  <c r="E322" i="15"/>
  <c r="F322" i="15" s="1"/>
  <c r="C322" i="15" s="1"/>
  <c r="D322" i="15"/>
  <c r="Z321" i="15"/>
  <c r="AA321" i="15" s="1"/>
  <c r="E321" i="15"/>
  <c r="F321" i="15" s="1"/>
  <c r="C321" i="15" s="1"/>
  <c r="D321" i="15"/>
  <c r="Z320" i="15"/>
  <c r="G320" i="15"/>
  <c r="E320" i="15"/>
  <c r="F320" i="15" s="1"/>
  <c r="C320" i="15" s="1"/>
  <c r="D320" i="15"/>
  <c r="Z319" i="15"/>
  <c r="G319" i="15"/>
  <c r="E319" i="15"/>
  <c r="F319" i="15" s="1"/>
  <c r="C319" i="15" s="1"/>
  <c r="D319" i="15"/>
  <c r="Z318" i="15"/>
  <c r="G318" i="15"/>
  <c r="E318" i="15"/>
  <c r="F318" i="15" s="1"/>
  <c r="C318" i="15" s="1"/>
  <c r="D318" i="15"/>
  <c r="Z317" i="15"/>
  <c r="G317" i="15"/>
  <c r="E317" i="15"/>
  <c r="F317" i="15" s="1"/>
  <c r="C317" i="15" s="1"/>
  <c r="D317" i="15"/>
  <c r="Z316" i="15"/>
  <c r="G316" i="15"/>
  <c r="E316" i="15"/>
  <c r="F316" i="15" s="1"/>
  <c r="C316" i="15" s="1"/>
  <c r="D316" i="15"/>
  <c r="Z315" i="15"/>
  <c r="G315" i="15"/>
  <c r="E315" i="15"/>
  <c r="F315" i="15" s="1"/>
  <c r="C315" i="15" s="1"/>
  <c r="D315" i="15"/>
  <c r="Z314" i="15"/>
  <c r="G314" i="15"/>
  <c r="E314" i="15"/>
  <c r="F314" i="15" s="1"/>
  <c r="C314" i="15" s="1"/>
  <c r="D314" i="15"/>
  <c r="Z313" i="15"/>
  <c r="AA313" i="15" s="1"/>
  <c r="E313" i="15"/>
  <c r="F313" i="15" s="1"/>
  <c r="C313" i="15" s="1"/>
  <c r="D313" i="15"/>
  <c r="Z312" i="15"/>
  <c r="G312" i="15"/>
  <c r="E312" i="15"/>
  <c r="F312" i="15" s="1"/>
  <c r="C312" i="15" s="1"/>
  <c r="D312" i="15"/>
  <c r="Z311" i="15"/>
  <c r="G311" i="15"/>
  <c r="E311" i="15"/>
  <c r="F311" i="15" s="1"/>
  <c r="C311" i="15" s="1"/>
  <c r="D311" i="15"/>
  <c r="Z310" i="15"/>
  <c r="G310" i="15"/>
  <c r="E310" i="15"/>
  <c r="F310" i="15" s="1"/>
  <c r="C310" i="15" s="1"/>
  <c r="D310" i="15"/>
  <c r="Z309" i="15"/>
  <c r="G309" i="15"/>
  <c r="E309" i="15"/>
  <c r="F309" i="15" s="1"/>
  <c r="C309" i="15" s="1"/>
  <c r="D309" i="15"/>
  <c r="Z308" i="15"/>
  <c r="G308" i="15"/>
  <c r="E308" i="15"/>
  <c r="F308" i="15" s="1"/>
  <c r="C308" i="15" s="1"/>
  <c r="D308" i="15"/>
  <c r="Z307" i="15"/>
  <c r="G307" i="15"/>
  <c r="E307" i="15"/>
  <c r="F307" i="15" s="1"/>
  <c r="C307" i="15" s="1"/>
  <c r="D307" i="15"/>
  <c r="Z306" i="15"/>
  <c r="G306" i="15"/>
  <c r="E306" i="15"/>
  <c r="F306" i="15" s="1"/>
  <c r="C306" i="15" s="1"/>
  <c r="D306" i="15"/>
  <c r="Z305" i="15"/>
  <c r="G305" i="15"/>
  <c r="E305" i="15"/>
  <c r="F305" i="15" s="1"/>
  <c r="C305" i="15" s="1"/>
  <c r="D305" i="15"/>
  <c r="Z304" i="15"/>
  <c r="G304" i="15"/>
  <c r="E304" i="15"/>
  <c r="F304" i="15" s="1"/>
  <c r="C304" i="15" s="1"/>
  <c r="D304" i="15"/>
  <c r="Z303" i="15"/>
  <c r="G303" i="15"/>
  <c r="E303" i="15"/>
  <c r="F303" i="15" s="1"/>
  <c r="C303" i="15" s="1"/>
  <c r="D303" i="15"/>
  <c r="Z302" i="15"/>
  <c r="G302" i="15"/>
  <c r="E302" i="15"/>
  <c r="F302" i="15" s="1"/>
  <c r="C302" i="15" s="1"/>
  <c r="D302" i="15"/>
  <c r="Z301" i="15"/>
  <c r="G301" i="15"/>
  <c r="E301" i="15"/>
  <c r="F301" i="15" s="1"/>
  <c r="C301" i="15" s="1"/>
  <c r="D301" i="15"/>
  <c r="Z300" i="15"/>
  <c r="G300" i="15"/>
  <c r="E300" i="15"/>
  <c r="F300" i="15" s="1"/>
  <c r="C300" i="15" s="1"/>
  <c r="D300" i="15"/>
  <c r="Z299" i="15"/>
  <c r="G299" i="15"/>
  <c r="E299" i="15"/>
  <c r="F299" i="15" s="1"/>
  <c r="C299" i="15" s="1"/>
  <c r="D299" i="15"/>
  <c r="Z298" i="15"/>
  <c r="G298" i="15"/>
  <c r="E298" i="15"/>
  <c r="F298" i="15" s="1"/>
  <c r="C298" i="15" s="1"/>
  <c r="D298" i="15"/>
  <c r="Z297" i="15"/>
  <c r="G297" i="15"/>
  <c r="E297" i="15"/>
  <c r="F297" i="15" s="1"/>
  <c r="C297" i="15" s="1"/>
  <c r="D297" i="15"/>
  <c r="Z296" i="15"/>
  <c r="G296" i="15"/>
  <c r="E296" i="15"/>
  <c r="F296" i="15" s="1"/>
  <c r="C296" i="15" s="1"/>
  <c r="D296" i="15"/>
  <c r="Z295" i="15"/>
  <c r="G295" i="15"/>
  <c r="E295" i="15"/>
  <c r="F295" i="15" s="1"/>
  <c r="C295" i="15" s="1"/>
  <c r="D295" i="15"/>
  <c r="Z294" i="15"/>
  <c r="G294" i="15"/>
  <c r="E294" i="15"/>
  <c r="F294" i="15" s="1"/>
  <c r="C294" i="15" s="1"/>
  <c r="D294" i="15"/>
  <c r="Z293" i="15"/>
  <c r="G293" i="15"/>
  <c r="E293" i="15"/>
  <c r="F293" i="15" s="1"/>
  <c r="C293" i="15" s="1"/>
  <c r="D293" i="15"/>
  <c r="Z292" i="15"/>
  <c r="G292" i="15"/>
  <c r="E292" i="15"/>
  <c r="F292" i="15" s="1"/>
  <c r="C292" i="15" s="1"/>
  <c r="D292" i="15"/>
  <c r="Z291" i="15"/>
  <c r="G291" i="15"/>
  <c r="E291" i="15"/>
  <c r="F291" i="15" s="1"/>
  <c r="C291" i="15" s="1"/>
  <c r="D291" i="15"/>
  <c r="Z290" i="15"/>
  <c r="G290" i="15"/>
  <c r="E290" i="15"/>
  <c r="F290" i="15" s="1"/>
  <c r="C290" i="15" s="1"/>
  <c r="D290" i="15"/>
  <c r="Z289" i="15"/>
  <c r="G289" i="15"/>
  <c r="E289" i="15"/>
  <c r="F289" i="15" s="1"/>
  <c r="C289" i="15" s="1"/>
  <c r="D289" i="15"/>
  <c r="Z288" i="15"/>
  <c r="G288" i="15"/>
  <c r="E288" i="15"/>
  <c r="F288" i="15" s="1"/>
  <c r="C288" i="15" s="1"/>
  <c r="D288" i="15"/>
  <c r="Z287" i="15"/>
  <c r="G287" i="15"/>
  <c r="E287" i="15"/>
  <c r="F287" i="15" s="1"/>
  <c r="C287" i="15" s="1"/>
  <c r="D287" i="15"/>
  <c r="Z286" i="15"/>
  <c r="G286" i="15"/>
  <c r="E286" i="15"/>
  <c r="F286" i="15" s="1"/>
  <c r="C286" i="15" s="1"/>
  <c r="D286" i="15"/>
  <c r="Z285" i="15"/>
  <c r="G285" i="15"/>
  <c r="E285" i="15"/>
  <c r="F285" i="15" s="1"/>
  <c r="C285" i="15" s="1"/>
  <c r="D285" i="15"/>
  <c r="Z284" i="15"/>
  <c r="G284" i="15"/>
  <c r="E284" i="15"/>
  <c r="F284" i="15" s="1"/>
  <c r="C284" i="15" s="1"/>
  <c r="D284" i="15"/>
  <c r="Z283" i="15"/>
  <c r="G283" i="15"/>
  <c r="E283" i="15"/>
  <c r="F283" i="15" s="1"/>
  <c r="C283" i="15" s="1"/>
  <c r="D283" i="15"/>
  <c r="Z282" i="15"/>
  <c r="G282" i="15"/>
  <c r="E282" i="15"/>
  <c r="F282" i="15" s="1"/>
  <c r="C282" i="15" s="1"/>
  <c r="D282" i="15"/>
  <c r="Z281" i="15"/>
  <c r="G281" i="15"/>
  <c r="E281" i="15"/>
  <c r="F281" i="15" s="1"/>
  <c r="C281" i="15" s="1"/>
  <c r="D281" i="15"/>
  <c r="Z280" i="15"/>
  <c r="G280" i="15"/>
  <c r="E280" i="15"/>
  <c r="F280" i="15" s="1"/>
  <c r="C280" i="15" s="1"/>
  <c r="D280" i="15"/>
  <c r="Z279" i="15"/>
  <c r="G279" i="15"/>
  <c r="E279" i="15"/>
  <c r="F279" i="15" s="1"/>
  <c r="C279" i="15" s="1"/>
  <c r="D279" i="15"/>
  <c r="Z278" i="15"/>
  <c r="G278" i="15"/>
  <c r="E278" i="15"/>
  <c r="F278" i="15" s="1"/>
  <c r="C278" i="15" s="1"/>
  <c r="D278" i="15"/>
  <c r="Z277" i="15"/>
  <c r="G277" i="15"/>
  <c r="E277" i="15"/>
  <c r="F277" i="15" s="1"/>
  <c r="C277" i="15" s="1"/>
  <c r="D277" i="15"/>
  <c r="Z276" i="15"/>
  <c r="G276" i="15"/>
  <c r="E276" i="15"/>
  <c r="F276" i="15" s="1"/>
  <c r="C276" i="15" s="1"/>
  <c r="D276" i="15"/>
  <c r="Z275" i="15"/>
  <c r="G275" i="15"/>
  <c r="E275" i="15"/>
  <c r="F275" i="15" s="1"/>
  <c r="C275" i="15" s="1"/>
  <c r="D275" i="15"/>
  <c r="Z274" i="15"/>
  <c r="G274" i="15"/>
  <c r="E274" i="15"/>
  <c r="F274" i="15" s="1"/>
  <c r="C274" i="15" s="1"/>
  <c r="D274" i="15"/>
  <c r="Z273" i="15"/>
  <c r="G273" i="15"/>
  <c r="E273" i="15"/>
  <c r="F273" i="15" s="1"/>
  <c r="C273" i="15" s="1"/>
  <c r="D273" i="15"/>
  <c r="Z272" i="15"/>
  <c r="G272" i="15"/>
  <c r="E272" i="15"/>
  <c r="F272" i="15" s="1"/>
  <c r="C272" i="15" s="1"/>
  <c r="D272" i="15"/>
  <c r="Z271" i="15"/>
  <c r="G271" i="15"/>
  <c r="E271" i="15"/>
  <c r="F271" i="15" s="1"/>
  <c r="C271" i="15" s="1"/>
  <c r="D271" i="15"/>
  <c r="Z270" i="15"/>
  <c r="G270" i="15"/>
  <c r="E270" i="15"/>
  <c r="F270" i="15" s="1"/>
  <c r="C270" i="15" s="1"/>
  <c r="D270" i="15"/>
  <c r="Z269" i="15"/>
  <c r="G269" i="15"/>
  <c r="E269" i="15"/>
  <c r="F269" i="15" s="1"/>
  <c r="C269" i="15" s="1"/>
  <c r="D269" i="15"/>
  <c r="Z268" i="15"/>
  <c r="G268" i="15"/>
  <c r="E268" i="15"/>
  <c r="F268" i="15" s="1"/>
  <c r="C268" i="15" s="1"/>
  <c r="D268" i="15"/>
  <c r="Z267" i="15"/>
  <c r="G267" i="15"/>
  <c r="E267" i="15"/>
  <c r="F267" i="15" s="1"/>
  <c r="C267" i="15" s="1"/>
  <c r="D267" i="15"/>
  <c r="Z266" i="15"/>
  <c r="G266" i="15"/>
  <c r="E266" i="15"/>
  <c r="F266" i="15" s="1"/>
  <c r="C266" i="15" s="1"/>
  <c r="D266" i="15"/>
  <c r="Z265" i="15"/>
  <c r="G265" i="15"/>
  <c r="E265" i="15"/>
  <c r="F265" i="15" s="1"/>
  <c r="C265" i="15" s="1"/>
  <c r="D265" i="15"/>
  <c r="Z264" i="15"/>
  <c r="G264" i="15"/>
  <c r="E264" i="15"/>
  <c r="F264" i="15" s="1"/>
  <c r="C264" i="15" s="1"/>
  <c r="D264" i="15"/>
  <c r="Z263" i="15"/>
  <c r="G263" i="15"/>
  <c r="E263" i="15"/>
  <c r="F263" i="15" s="1"/>
  <c r="C263" i="15" s="1"/>
  <c r="D263" i="15"/>
  <c r="Z262" i="15"/>
  <c r="G262" i="15"/>
  <c r="E262" i="15"/>
  <c r="F262" i="15" s="1"/>
  <c r="C262" i="15" s="1"/>
  <c r="D262" i="15"/>
  <c r="Z261" i="15"/>
  <c r="G261" i="15"/>
  <c r="E261" i="15"/>
  <c r="F261" i="15" s="1"/>
  <c r="C261" i="15" s="1"/>
  <c r="D261" i="15"/>
  <c r="Z260" i="15"/>
  <c r="G260" i="15"/>
  <c r="E260" i="15"/>
  <c r="F260" i="15" s="1"/>
  <c r="C260" i="15" s="1"/>
  <c r="D260" i="15"/>
  <c r="Z259" i="15"/>
  <c r="G259" i="15"/>
  <c r="E259" i="15"/>
  <c r="F259" i="15" s="1"/>
  <c r="C259" i="15" s="1"/>
  <c r="D259" i="15"/>
  <c r="Z258" i="15"/>
  <c r="G258" i="15"/>
  <c r="E258" i="15"/>
  <c r="F258" i="15" s="1"/>
  <c r="C258" i="15" s="1"/>
  <c r="D258" i="15"/>
  <c r="Z257" i="15"/>
  <c r="G257" i="15"/>
  <c r="E257" i="15"/>
  <c r="F257" i="15" s="1"/>
  <c r="C257" i="15" s="1"/>
  <c r="D257" i="15"/>
  <c r="Z256" i="15"/>
  <c r="G256" i="15"/>
  <c r="E256" i="15"/>
  <c r="F256" i="15" s="1"/>
  <c r="C256" i="15" s="1"/>
  <c r="D256" i="15"/>
  <c r="Z255" i="15"/>
  <c r="G255" i="15"/>
  <c r="E255" i="15"/>
  <c r="F255" i="15" s="1"/>
  <c r="C255" i="15" s="1"/>
  <c r="D255" i="15"/>
  <c r="Z254" i="15"/>
  <c r="G254" i="15"/>
  <c r="E254" i="15"/>
  <c r="F254" i="15" s="1"/>
  <c r="C254" i="15" s="1"/>
  <c r="D254" i="15"/>
  <c r="Z253" i="15"/>
  <c r="G253" i="15"/>
  <c r="E253" i="15"/>
  <c r="F253" i="15" s="1"/>
  <c r="C253" i="15" s="1"/>
  <c r="D253" i="15"/>
  <c r="Z252" i="15"/>
  <c r="G252" i="15"/>
  <c r="E252" i="15"/>
  <c r="F252" i="15" s="1"/>
  <c r="C252" i="15" s="1"/>
  <c r="D252" i="15"/>
  <c r="Z251" i="15"/>
  <c r="G251" i="15"/>
  <c r="E251" i="15"/>
  <c r="F251" i="15" s="1"/>
  <c r="C251" i="15" s="1"/>
  <c r="D251" i="15"/>
  <c r="Z250" i="15"/>
  <c r="G250" i="15"/>
  <c r="E250" i="15"/>
  <c r="F250" i="15" s="1"/>
  <c r="C250" i="15" s="1"/>
  <c r="D250" i="15"/>
  <c r="Z249" i="15"/>
  <c r="G249" i="15"/>
  <c r="E249" i="15"/>
  <c r="F249" i="15" s="1"/>
  <c r="C249" i="15" s="1"/>
  <c r="D249" i="15"/>
  <c r="Z248" i="15"/>
  <c r="G248" i="15"/>
  <c r="E248" i="15"/>
  <c r="F248" i="15" s="1"/>
  <c r="C248" i="15" s="1"/>
  <c r="D248" i="15"/>
  <c r="Z247" i="15"/>
  <c r="G247" i="15"/>
  <c r="E247" i="15"/>
  <c r="F247" i="15" s="1"/>
  <c r="C247" i="15" s="1"/>
  <c r="D247" i="15"/>
  <c r="Z246" i="15"/>
  <c r="G246" i="15"/>
  <c r="E246" i="15"/>
  <c r="F246" i="15" s="1"/>
  <c r="C246" i="15" s="1"/>
  <c r="D246" i="15"/>
  <c r="Z245" i="15"/>
  <c r="G245" i="15"/>
  <c r="E245" i="15"/>
  <c r="F245" i="15" s="1"/>
  <c r="C245" i="15" s="1"/>
  <c r="D245" i="15"/>
  <c r="Z244" i="15"/>
  <c r="G244" i="15"/>
  <c r="E244" i="15"/>
  <c r="F244" i="15" s="1"/>
  <c r="C244" i="15" s="1"/>
  <c r="D244" i="15"/>
  <c r="Z243" i="15"/>
  <c r="G243" i="15"/>
  <c r="E243" i="15"/>
  <c r="F243" i="15" s="1"/>
  <c r="C243" i="15" s="1"/>
  <c r="D243" i="15"/>
  <c r="Z242" i="15"/>
  <c r="G242" i="15"/>
  <c r="E242" i="15"/>
  <c r="F242" i="15" s="1"/>
  <c r="C242" i="15" s="1"/>
  <c r="D242" i="15"/>
  <c r="Z241" i="15"/>
  <c r="G241" i="15"/>
  <c r="E241" i="15"/>
  <c r="F241" i="15" s="1"/>
  <c r="C241" i="15" s="1"/>
  <c r="D241" i="15"/>
  <c r="Z240" i="15"/>
  <c r="G240" i="15"/>
  <c r="E240" i="15"/>
  <c r="F240" i="15" s="1"/>
  <c r="C240" i="15" s="1"/>
  <c r="D240" i="15"/>
  <c r="Z239" i="15"/>
  <c r="G239" i="15"/>
  <c r="E239" i="15"/>
  <c r="F239" i="15" s="1"/>
  <c r="C239" i="15" s="1"/>
  <c r="D239" i="15"/>
  <c r="Z238" i="15"/>
  <c r="G238" i="15"/>
  <c r="E238" i="15"/>
  <c r="F238" i="15" s="1"/>
  <c r="C238" i="15" s="1"/>
  <c r="D238" i="15"/>
  <c r="Z237" i="15"/>
  <c r="G237" i="15"/>
  <c r="E237" i="15"/>
  <c r="F237" i="15" s="1"/>
  <c r="C237" i="15" s="1"/>
  <c r="D237" i="15"/>
  <c r="Z236" i="15"/>
  <c r="G236" i="15"/>
  <c r="E236" i="15"/>
  <c r="F236" i="15" s="1"/>
  <c r="C236" i="15" s="1"/>
  <c r="D236" i="15"/>
  <c r="Z235" i="15"/>
  <c r="G235" i="15"/>
  <c r="E235" i="15"/>
  <c r="F235" i="15" s="1"/>
  <c r="C235" i="15" s="1"/>
  <c r="D235" i="15"/>
  <c r="Z234" i="15"/>
  <c r="G234" i="15"/>
  <c r="E234" i="15"/>
  <c r="F234" i="15" s="1"/>
  <c r="C234" i="15" s="1"/>
  <c r="D234" i="15"/>
  <c r="Z233" i="15"/>
  <c r="G233" i="15"/>
  <c r="E233" i="15"/>
  <c r="F233" i="15" s="1"/>
  <c r="C233" i="15" s="1"/>
  <c r="D233" i="15"/>
  <c r="Z232" i="15"/>
  <c r="G232" i="15"/>
  <c r="E232" i="15"/>
  <c r="F232" i="15" s="1"/>
  <c r="C232" i="15" s="1"/>
  <c r="D232" i="15"/>
  <c r="Z231" i="15"/>
  <c r="G231" i="15"/>
  <c r="E231" i="15"/>
  <c r="F231" i="15" s="1"/>
  <c r="C231" i="15" s="1"/>
  <c r="D231" i="15"/>
  <c r="Z230" i="15"/>
  <c r="G230" i="15"/>
  <c r="E230" i="15"/>
  <c r="F230" i="15" s="1"/>
  <c r="C230" i="15" s="1"/>
  <c r="D230" i="15"/>
  <c r="Z229" i="15"/>
  <c r="G229" i="15"/>
  <c r="E229" i="15"/>
  <c r="F229" i="15" s="1"/>
  <c r="C229" i="15" s="1"/>
  <c r="D229" i="15"/>
  <c r="Z228" i="15"/>
  <c r="G228" i="15"/>
  <c r="E228" i="15"/>
  <c r="F228" i="15" s="1"/>
  <c r="C228" i="15" s="1"/>
  <c r="D228" i="15"/>
  <c r="Z227" i="15"/>
  <c r="G227" i="15"/>
  <c r="E227" i="15"/>
  <c r="F227" i="15" s="1"/>
  <c r="C227" i="15" s="1"/>
  <c r="D227" i="15"/>
  <c r="Z226" i="15"/>
  <c r="G226" i="15"/>
  <c r="E226" i="15"/>
  <c r="F226" i="15" s="1"/>
  <c r="C226" i="15" s="1"/>
  <c r="D226" i="15"/>
  <c r="Z225" i="15"/>
  <c r="G225" i="15"/>
  <c r="E225" i="15"/>
  <c r="F225" i="15" s="1"/>
  <c r="C225" i="15" s="1"/>
  <c r="D225" i="15"/>
  <c r="Z224" i="15"/>
  <c r="G224" i="15"/>
  <c r="E224" i="15"/>
  <c r="F224" i="15" s="1"/>
  <c r="C224" i="15" s="1"/>
  <c r="D224" i="15"/>
  <c r="Z223" i="15"/>
  <c r="G223" i="15"/>
  <c r="E223" i="15"/>
  <c r="F223" i="15" s="1"/>
  <c r="C223" i="15" s="1"/>
  <c r="D223" i="15"/>
  <c r="Z222" i="15"/>
  <c r="G222" i="15"/>
  <c r="E222" i="15"/>
  <c r="F222" i="15" s="1"/>
  <c r="C222" i="15" s="1"/>
  <c r="D222" i="15"/>
  <c r="Z221" i="15"/>
  <c r="G221" i="15"/>
  <c r="E221" i="15"/>
  <c r="F221" i="15" s="1"/>
  <c r="C221" i="15" s="1"/>
  <c r="D221" i="15"/>
  <c r="Z220" i="15"/>
  <c r="G220" i="15"/>
  <c r="E220" i="15"/>
  <c r="F220" i="15" s="1"/>
  <c r="C220" i="15" s="1"/>
  <c r="D220" i="15"/>
  <c r="Z219" i="15"/>
  <c r="G219" i="15"/>
  <c r="E219" i="15"/>
  <c r="F219" i="15" s="1"/>
  <c r="C219" i="15" s="1"/>
  <c r="D219" i="15"/>
  <c r="Z218" i="15"/>
  <c r="G218" i="15"/>
  <c r="E218" i="15"/>
  <c r="F218" i="15" s="1"/>
  <c r="C218" i="15" s="1"/>
  <c r="D218" i="15"/>
  <c r="Z217" i="15"/>
  <c r="G217" i="15"/>
  <c r="E217" i="15"/>
  <c r="F217" i="15" s="1"/>
  <c r="C217" i="15" s="1"/>
  <c r="D217" i="15"/>
  <c r="Z216" i="15"/>
  <c r="G216" i="15"/>
  <c r="E216" i="15"/>
  <c r="F216" i="15" s="1"/>
  <c r="C216" i="15" s="1"/>
  <c r="D216" i="15"/>
  <c r="Z215" i="15"/>
  <c r="G215" i="15"/>
  <c r="E215" i="15"/>
  <c r="F215" i="15" s="1"/>
  <c r="C215" i="15" s="1"/>
  <c r="D215" i="15"/>
  <c r="Z214" i="15"/>
  <c r="G214" i="15"/>
  <c r="E214" i="15"/>
  <c r="F214" i="15" s="1"/>
  <c r="C214" i="15" s="1"/>
  <c r="D214" i="15"/>
  <c r="Z213" i="15"/>
  <c r="G213" i="15"/>
  <c r="E213" i="15"/>
  <c r="F213" i="15" s="1"/>
  <c r="C213" i="15" s="1"/>
  <c r="D213" i="15"/>
  <c r="Z212" i="15"/>
  <c r="G212" i="15"/>
  <c r="E212" i="15"/>
  <c r="F212" i="15" s="1"/>
  <c r="C212" i="15" s="1"/>
  <c r="D212" i="15"/>
  <c r="Z211" i="15"/>
  <c r="G211" i="15"/>
  <c r="E211" i="15"/>
  <c r="F211" i="15" s="1"/>
  <c r="C211" i="15" s="1"/>
  <c r="D211" i="15"/>
  <c r="Z210" i="15"/>
  <c r="G210" i="15"/>
  <c r="E210" i="15"/>
  <c r="F210" i="15" s="1"/>
  <c r="C210" i="15" s="1"/>
  <c r="D210" i="15"/>
  <c r="Z209" i="15"/>
  <c r="G209" i="15"/>
  <c r="E209" i="15"/>
  <c r="F209" i="15" s="1"/>
  <c r="C209" i="15" s="1"/>
  <c r="D209" i="15"/>
  <c r="Z208" i="15"/>
  <c r="G208" i="15"/>
  <c r="E208" i="15"/>
  <c r="F208" i="15" s="1"/>
  <c r="C208" i="15" s="1"/>
  <c r="D208" i="15"/>
  <c r="Z207" i="15"/>
  <c r="G207" i="15"/>
  <c r="E207" i="15"/>
  <c r="F207" i="15" s="1"/>
  <c r="C207" i="15" s="1"/>
  <c r="D207" i="15"/>
  <c r="Z206" i="15"/>
  <c r="G206" i="15"/>
  <c r="E206" i="15"/>
  <c r="F206" i="15" s="1"/>
  <c r="C206" i="15" s="1"/>
  <c r="D206" i="15"/>
  <c r="Z205" i="15"/>
  <c r="G205" i="15"/>
  <c r="E205" i="15"/>
  <c r="F205" i="15" s="1"/>
  <c r="C205" i="15" s="1"/>
  <c r="D205" i="15"/>
  <c r="Z204" i="15"/>
  <c r="G204" i="15"/>
  <c r="E204" i="15"/>
  <c r="F204" i="15" s="1"/>
  <c r="C204" i="15" s="1"/>
  <c r="D204" i="15"/>
  <c r="Z203" i="15"/>
  <c r="G203" i="15"/>
  <c r="E203" i="15"/>
  <c r="F203" i="15" s="1"/>
  <c r="C203" i="15" s="1"/>
  <c r="D203" i="15"/>
  <c r="Z202" i="15"/>
  <c r="G202" i="15"/>
  <c r="E202" i="15"/>
  <c r="F202" i="15" s="1"/>
  <c r="C202" i="15" s="1"/>
  <c r="D202" i="15"/>
  <c r="Z201" i="15"/>
  <c r="G201" i="15"/>
  <c r="E201" i="15"/>
  <c r="F201" i="15" s="1"/>
  <c r="C201" i="15" s="1"/>
  <c r="D201" i="15"/>
  <c r="Z200" i="15"/>
  <c r="G200" i="15"/>
  <c r="E200" i="15"/>
  <c r="F200" i="15" s="1"/>
  <c r="C200" i="15" s="1"/>
  <c r="D200" i="15"/>
  <c r="Z199" i="15"/>
  <c r="G199" i="15"/>
  <c r="E199" i="15"/>
  <c r="F199" i="15" s="1"/>
  <c r="C199" i="15" s="1"/>
  <c r="D199" i="15"/>
  <c r="Z198" i="15"/>
  <c r="G198" i="15"/>
  <c r="E198" i="15"/>
  <c r="F198" i="15" s="1"/>
  <c r="C198" i="15" s="1"/>
  <c r="D198" i="15"/>
  <c r="Z197" i="15"/>
  <c r="G197" i="15"/>
  <c r="E197" i="15"/>
  <c r="F197" i="15" s="1"/>
  <c r="C197" i="15" s="1"/>
  <c r="D197" i="15"/>
  <c r="Z196" i="15"/>
  <c r="G196" i="15"/>
  <c r="E196" i="15"/>
  <c r="F196" i="15" s="1"/>
  <c r="C196" i="15" s="1"/>
  <c r="D196" i="15"/>
  <c r="Z195" i="15"/>
  <c r="G195" i="15"/>
  <c r="E195" i="15"/>
  <c r="F195" i="15" s="1"/>
  <c r="C195" i="15" s="1"/>
  <c r="D195" i="15"/>
  <c r="Z194" i="15"/>
  <c r="G194" i="15"/>
  <c r="E194" i="15"/>
  <c r="F194" i="15" s="1"/>
  <c r="C194" i="15" s="1"/>
  <c r="D194" i="15"/>
  <c r="Z193" i="15"/>
  <c r="G193" i="15"/>
  <c r="E193" i="15"/>
  <c r="F193" i="15" s="1"/>
  <c r="C193" i="15" s="1"/>
  <c r="D193" i="15"/>
  <c r="Z192" i="15"/>
  <c r="G192" i="15"/>
  <c r="E192" i="15"/>
  <c r="F192" i="15" s="1"/>
  <c r="C192" i="15" s="1"/>
  <c r="D192" i="15"/>
  <c r="Z191" i="15"/>
  <c r="G191" i="15"/>
  <c r="E191" i="15"/>
  <c r="F191" i="15" s="1"/>
  <c r="C191" i="15" s="1"/>
  <c r="D191" i="15"/>
  <c r="Z190" i="15"/>
  <c r="G190" i="15"/>
  <c r="E190" i="15"/>
  <c r="F190" i="15" s="1"/>
  <c r="C190" i="15" s="1"/>
  <c r="D190" i="15"/>
  <c r="Z189" i="15"/>
  <c r="G189" i="15"/>
  <c r="E189" i="15"/>
  <c r="F189" i="15" s="1"/>
  <c r="C189" i="15" s="1"/>
  <c r="D189" i="15"/>
  <c r="Z188" i="15"/>
  <c r="G188" i="15"/>
  <c r="E188" i="15"/>
  <c r="F188" i="15" s="1"/>
  <c r="C188" i="15" s="1"/>
  <c r="D188" i="15"/>
  <c r="Z187" i="15"/>
  <c r="G187" i="15"/>
  <c r="E187" i="15"/>
  <c r="F187" i="15" s="1"/>
  <c r="C187" i="15" s="1"/>
  <c r="D187" i="15"/>
  <c r="Z186" i="15"/>
  <c r="G186" i="15"/>
  <c r="E186" i="15"/>
  <c r="F186" i="15" s="1"/>
  <c r="C186" i="15" s="1"/>
  <c r="D186" i="15"/>
  <c r="Z185" i="15"/>
  <c r="G185" i="15"/>
  <c r="E185" i="15"/>
  <c r="F185" i="15" s="1"/>
  <c r="C185" i="15" s="1"/>
  <c r="D185" i="15"/>
  <c r="Z184" i="15"/>
  <c r="G184" i="15"/>
  <c r="E184" i="15"/>
  <c r="F184" i="15" s="1"/>
  <c r="C184" i="15" s="1"/>
  <c r="D184" i="15"/>
  <c r="Z183" i="15"/>
  <c r="G183" i="15"/>
  <c r="E183" i="15"/>
  <c r="F183" i="15" s="1"/>
  <c r="C183" i="15" s="1"/>
  <c r="D183" i="15"/>
  <c r="Z182" i="15"/>
  <c r="G182" i="15"/>
  <c r="E182" i="15"/>
  <c r="F182" i="15" s="1"/>
  <c r="C182" i="15" s="1"/>
  <c r="D182" i="15"/>
  <c r="Z181" i="15"/>
  <c r="G181" i="15"/>
  <c r="E181" i="15"/>
  <c r="F181" i="15" s="1"/>
  <c r="C181" i="15" s="1"/>
  <c r="D181" i="15"/>
  <c r="Z180" i="15"/>
  <c r="G180" i="15"/>
  <c r="E180" i="15"/>
  <c r="F180" i="15" s="1"/>
  <c r="C180" i="15" s="1"/>
  <c r="D180" i="15"/>
  <c r="Z179" i="15"/>
  <c r="G179" i="15"/>
  <c r="E179" i="15"/>
  <c r="F179" i="15" s="1"/>
  <c r="C179" i="15" s="1"/>
  <c r="D179" i="15"/>
  <c r="Z178" i="15"/>
  <c r="G178" i="15"/>
  <c r="E178" i="15"/>
  <c r="F178" i="15" s="1"/>
  <c r="C178" i="15" s="1"/>
  <c r="D178" i="15"/>
  <c r="Z177" i="15"/>
  <c r="G177" i="15"/>
  <c r="E177" i="15"/>
  <c r="F177" i="15" s="1"/>
  <c r="C177" i="15" s="1"/>
  <c r="D177" i="15"/>
  <c r="Z176" i="15"/>
  <c r="G176" i="15"/>
  <c r="E176" i="15"/>
  <c r="F176" i="15" s="1"/>
  <c r="C176" i="15" s="1"/>
  <c r="D176" i="15"/>
  <c r="Z175" i="15"/>
  <c r="G175" i="15"/>
  <c r="E175" i="15"/>
  <c r="F175" i="15" s="1"/>
  <c r="C175" i="15" s="1"/>
  <c r="D175" i="15"/>
  <c r="Z174" i="15"/>
  <c r="G174" i="15"/>
  <c r="E174" i="15"/>
  <c r="F174" i="15" s="1"/>
  <c r="C174" i="15" s="1"/>
  <c r="D174" i="15"/>
  <c r="Z173" i="15"/>
  <c r="G173" i="15"/>
  <c r="E173" i="15"/>
  <c r="F173" i="15" s="1"/>
  <c r="C173" i="15" s="1"/>
  <c r="D173" i="15"/>
  <c r="Z172" i="15"/>
  <c r="G172" i="15"/>
  <c r="E172" i="15"/>
  <c r="F172" i="15" s="1"/>
  <c r="C172" i="15" s="1"/>
  <c r="D172" i="15"/>
  <c r="Z171" i="15"/>
  <c r="G171" i="15"/>
  <c r="E171" i="15"/>
  <c r="F171" i="15" s="1"/>
  <c r="C171" i="15" s="1"/>
  <c r="D171" i="15"/>
  <c r="Z170" i="15"/>
  <c r="G170" i="15"/>
  <c r="E170" i="15"/>
  <c r="F170" i="15" s="1"/>
  <c r="C170" i="15" s="1"/>
  <c r="D170" i="15"/>
  <c r="Z169" i="15"/>
  <c r="G169" i="15"/>
  <c r="E169" i="15"/>
  <c r="F169" i="15" s="1"/>
  <c r="C169" i="15" s="1"/>
  <c r="D169" i="15"/>
  <c r="Z168" i="15"/>
  <c r="G168" i="15"/>
  <c r="E168" i="15"/>
  <c r="F168" i="15" s="1"/>
  <c r="C168" i="15" s="1"/>
  <c r="D168" i="15"/>
  <c r="Z167" i="15"/>
  <c r="G167" i="15"/>
  <c r="E167" i="15"/>
  <c r="F167" i="15" s="1"/>
  <c r="C167" i="15" s="1"/>
  <c r="D167" i="15"/>
  <c r="Z166" i="15"/>
  <c r="G166" i="15"/>
  <c r="E166" i="15"/>
  <c r="F166" i="15" s="1"/>
  <c r="C166" i="15" s="1"/>
  <c r="D166" i="15"/>
  <c r="Z165" i="15"/>
  <c r="G165" i="15"/>
  <c r="E165" i="15"/>
  <c r="F165" i="15" s="1"/>
  <c r="C165" i="15" s="1"/>
  <c r="D165" i="15"/>
  <c r="Z164" i="15"/>
  <c r="G164" i="15"/>
  <c r="E164" i="15"/>
  <c r="F164" i="15" s="1"/>
  <c r="C164" i="15" s="1"/>
  <c r="D164" i="15"/>
  <c r="Z163" i="15"/>
  <c r="G163" i="15"/>
  <c r="E163" i="15"/>
  <c r="F163" i="15" s="1"/>
  <c r="C163" i="15" s="1"/>
  <c r="D163" i="15"/>
  <c r="Z162" i="15"/>
  <c r="G162" i="15"/>
  <c r="E162" i="15"/>
  <c r="F162" i="15" s="1"/>
  <c r="C162" i="15" s="1"/>
  <c r="D162" i="15"/>
  <c r="Z161" i="15"/>
  <c r="G161" i="15"/>
  <c r="E161" i="15"/>
  <c r="F161" i="15" s="1"/>
  <c r="C161" i="15" s="1"/>
  <c r="D161" i="15"/>
  <c r="Z160" i="15"/>
  <c r="G160" i="15"/>
  <c r="E160" i="15"/>
  <c r="F160" i="15" s="1"/>
  <c r="C160" i="15" s="1"/>
  <c r="D160" i="15"/>
  <c r="Z159" i="15"/>
  <c r="G159" i="15"/>
  <c r="E159" i="15"/>
  <c r="F159" i="15" s="1"/>
  <c r="C159" i="15" s="1"/>
  <c r="D159" i="15"/>
  <c r="Z158" i="15"/>
  <c r="G158" i="15"/>
  <c r="E158" i="15"/>
  <c r="F158" i="15" s="1"/>
  <c r="C158" i="15" s="1"/>
  <c r="D158" i="15"/>
  <c r="Z157" i="15"/>
  <c r="G157" i="15"/>
  <c r="E157" i="15"/>
  <c r="F157" i="15" s="1"/>
  <c r="C157" i="15" s="1"/>
  <c r="D157" i="15"/>
  <c r="Z156" i="15"/>
  <c r="G156" i="15"/>
  <c r="E156" i="15"/>
  <c r="F156" i="15" s="1"/>
  <c r="C156" i="15" s="1"/>
  <c r="D156" i="15"/>
  <c r="Z155" i="15"/>
  <c r="G155" i="15"/>
  <c r="E155" i="15"/>
  <c r="F155" i="15" s="1"/>
  <c r="C155" i="15" s="1"/>
  <c r="D155" i="15"/>
  <c r="Z154" i="15"/>
  <c r="G154" i="15"/>
  <c r="E154" i="15"/>
  <c r="F154" i="15" s="1"/>
  <c r="C154" i="15" s="1"/>
  <c r="D154" i="15"/>
  <c r="Z153" i="15"/>
  <c r="G153" i="15"/>
  <c r="E153" i="15"/>
  <c r="F153" i="15" s="1"/>
  <c r="C153" i="15" s="1"/>
  <c r="D153" i="15"/>
  <c r="Z152" i="15"/>
  <c r="G152" i="15"/>
  <c r="E152" i="15"/>
  <c r="F152" i="15" s="1"/>
  <c r="C152" i="15" s="1"/>
  <c r="D152" i="15"/>
  <c r="Z151" i="15"/>
  <c r="G151" i="15"/>
  <c r="E151" i="15"/>
  <c r="F151" i="15" s="1"/>
  <c r="C151" i="15" s="1"/>
  <c r="D151" i="15"/>
  <c r="Z150" i="15"/>
  <c r="G150" i="15"/>
  <c r="E150" i="15"/>
  <c r="F150" i="15" s="1"/>
  <c r="C150" i="15" s="1"/>
  <c r="D150" i="15"/>
  <c r="Z149" i="15"/>
  <c r="G149" i="15"/>
  <c r="E149" i="15"/>
  <c r="F149" i="15" s="1"/>
  <c r="C149" i="15" s="1"/>
  <c r="D149" i="15"/>
  <c r="Z148" i="15"/>
  <c r="G148" i="15"/>
  <c r="E148" i="15"/>
  <c r="F148" i="15" s="1"/>
  <c r="C148" i="15" s="1"/>
  <c r="D148" i="15"/>
  <c r="Z147" i="15"/>
  <c r="G147" i="15"/>
  <c r="E147" i="15"/>
  <c r="F147" i="15" s="1"/>
  <c r="C147" i="15" s="1"/>
  <c r="D147" i="15"/>
  <c r="Z146" i="15"/>
  <c r="G146" i="15"/>
  <c r="E146" i="15"/>
  <c r="F146" i="15" s="1"/>
  <c r="C146" i="15" s="1"/>
  <c r="D146" i="15"/>
  <c r="Z145" i="15"/>
  <c r="G145" i="15"/>
  <c r="E145" i="15"/>
  <c r="F145" i="15" s="1"/>
  <c r="C145" i="15" s="1"/>
  <c r="D145" i="15"/>
  <c r="Z144" i="15"/>
  <c r="G144" i="15"/>
  <c r="E144" i="15"/>
  <c r="F144" i="15" s="1"/>
  <c r="C144" i="15" s="1"/>
  <c r="D144" i="15"/>
  <c r="Z143" i="15"/>
  <c r="G143" i="15"/>
  <c r="E143" i="15"/>
  <c r="F143" i="15" s="1"/>
  <c r="C143" i="15" s="1"/>
  <c r="D143" i="15"/>
  <c r="Z142" i="15"/>
  <c r="G142" i="15"/>
  <c r="E142" i="15"/>
  <c r="F142" i="15" s="1"/>
  <c r="C142" i="15" s="1"/>
  <c r="D142" i="15"/>
  <c r="Z141" i="15"/>
  <c r="G141" i="15"/>
  <c r="E141" i="15"/>
  <c r="F141" i="15" s="1"/>
  <c r="C141" i="15" s="1"/>
  <c r="D141" i="15"/>
  <c r="Z140" i="15"/>
  <c r="G140" i="15"/>
  <c r="E140" i="15"/>
  <c r="F140" i="15" s="1"/>
  <c r="C140" i="15" s="1"/>
  <c r="D140" i="15"/>
  <c r="Z139" i="15"/>
  <c r="G139" i="15"/>
  <c r="E139" i="15"/>
  <c r="F139" i="15" s="1"/>
  <c r="C139" i="15" s="1"/>
  <c r="D139" i="15"/>
  <c r="Z138" i="15"/>
  <c r="G138" i="15"/>
  <c r="E138" i="15"/>
  <c r="F138" i="15" s="1"/>
  <c r="C138" i="15" s="1"/>
  <c r="D138" i="15"/>
  <c r="Z137" i="15"/>
  <c r="G137" i="15"/>
  <c r="E137" i="15"/>
  <c r="F137" i="15" s="1"/>
  <c r="C137" i="15" s="1"/>
  <c r="D137" i="15"/>
  <c r="Z136" i="15"/>
  <c r="G136" i="15"/>
  <c r="E136" i="15"/>
  <c r="F136" i="15" s="1"/>
  <c r="C136" i="15" s="1"/>
  <c r="D136" i="15"/>
  <c r="Z135" i="15"/>
  <c r="G135" i="15"/>
  <c r="E135" i="15"/>
  <c r="F135" i="15" s="1"/>
  <c r="C135" i="15" s="1"/>
  <c r="D135" i="15"/>
  <c r="Z134" i="15"/>
  <c r="G134" i="15"/>
  <c r="E134" i="15"/>
  <c r="F134" i="15" s="1"/>
  <c r="C134" i="15" s="1"/>
  <c r="D134" i="15"/>
  <c r="Z133" i="15"/>
  <c r="G133" i="15"/>
  <c r="E133" i="15"/>
  <c r="F133" i="15" s="1"/>
  <c r="C133" i="15" s="1"/>
  <c r="D133" i="15"/>
  <c r="Z132" i="15"/>
  <c r="G132" i="15"/>
  <c r="E132" i="15"/>
  <c r="F132" i="15" s="1"/>
  <c r="C132" i="15" s="1"/>
  <c r="D132" i="15"/>
  <c r="Z131" i="15"/>
  <c r="G131" i="15"/>
  <c r="E131" i="15"/>
  <c r="F131" i="15" s="1"/>
  <c r="C131" i="15" s="1"/>
  <c r="D131" i="15"/>
  <c r="Z130" i="15"/>
  <c r="G130" i="15"/>
  <c r="E130" i="15"/>
  <c r="F130" i="15" s="1"/>
  <c r="C130" i="15" s="1"/>
  <c r="D130" i="15"/>
  <c r="Z129" i="15"/>
  <c r="G129" i="15"/>
  <c r="E129" i="15"/>
  <c r="F129" i="15" s="1"/>
  <c r="C129" i="15" s="1"/>
  <c r="D129" i="15"/>
  <c r="Z128" i="15"/>
  <c r="G128" i="15"/>
  <c r="E128" i="15"/>
  <c r="F128" i="15" s="1"/>
  <c r="C128" i="15" s="1"/>
  <c r="D128" i="15"/>
  <c r="Z127" i="15"/>
  <c r="G127" i="15"/>
  <c r="E127" i="15"/>
  <c r="F127" i="15" s="1"/>
  <c r="C127" i="15" s="1"/>
  <c r="D127" i="15"/>
  <c r="Z126" i="15"/>
  <c r="G126" i="15"/>
  <c r="E126" i="15"/>
  <c r="F126" i="15" s="1"/>
  <c r="C126" i="15" s="1"/>
  <c r="D126" i="15"/>
  <c r="Z125" i="15"/>
  <c r="G125" i="15"/>
  <c r="E125" i="15"/>
  <c r="F125" i="15" s="1"/>
  <c r="C125" i="15" s="1"/>
  <c r="D125" i="15"/>
  <c r="Z124" i="15"/>
  <c r="G124" i="15"/>
  <c r="E124" i="15"/>
  <c r="F124" i="15" s="1"/>
  <c r="C124" i="15" s="1"/>
  <c r="D124" i="15"/>
  <c r="Z123" i="15"/>
  <c r="G123" i="15"/>
  <c r="E123" i="15"/>
  <c r="F123" i="15" s="1"/>
  <c r="C123" i="15" s="1"/>
  <c r="D123" i="15"/>
  <c r="Z122" i="15"/>
  <c r="G122" i="15"/>
  <c r="E122" i="15"/>
  <c r="F122" i="15" s="1"/>
  <c r="C122" i="15" s="1"/>
  <c r="D122" i="15"/>
  <c r="Z121" i="15"/>
  <c r="G121" i="15"/>
  <c r="E121" i="15"/>
  <c r="F121" i="15" s="1"/>
  <c r="C121" i="15" s="1"/>
  <c r="D121" i="15"/>
  <c r="Z120" i="15"/>
  <c r="G120" i="15"/>
  <c r="E120" i="15"/>
  <c r="F120" i="15" s="1"/>
  <c r="C120" i="15" s="1"/>
  <c r="D120" i="15"/>
  <c r="Z119" i="15"/>
  <c r="G119" i="15"/>
  <c r="E119" i="15"/>
  <c r="F119" i="15" s="1"/>
  <c r="C119" i="15" s="1"/>
  <c r="D119" i="15"/>
  <c r="Z118" i="15"/>
  <c r="G118" i="15"/>
  <c r="E118" i="15"/>
  <c r="F118" i="15" s="1"/>
  <c r="C118" i="15" s="1"/>
  <c r="D118" i="15"/>
  <c r="Z117" i="15"/>
  <c r="G117" i="15"/>
  <c r="E117" i="15"/>
  <c r="F117" i="15" s="1"/>
  <c r="C117" i="15" s="1"/>
  <c r="D117" i="15"/>
  <c r="Z116" i="15"/>
  <c r="G116" i="15"/>
  <c r="E116" i="15"/>
  <c r="F116" i="15" s="1"/>
  <c r="C116" i="15" s="1"/>
  <c r="D116" i="15"/>
  <c r="Z115" i="15"/>
  <c r="G115" i="15"/>
  <c r="E115" i="15"/>
  <c r="F115" i="15" s="1"/>
  <c r="C115" i="15" s="1"/>
  <c r="D115" i="15"/>
  <c r="Z114" i="15"/>
  <c r="G114" i="15"/>
  <c r="E114" i="15"/>
  <c r="F114" i="15" s="1"/>
  <c r="C114" i="15" s="1"/>
  <c r="D114" i="15"/>
  <c r="Z113" i="15"/>
  <c r="G113" i="15"/>
  <c r="E113" i="15"/>
  <c r="F113" i="15" s="1"/>
  <c r="C113" i="15" s="1"/>
  <c r="D113" i="15"/>
  <c r="Z112" i="15"/>
  <c r="G112" i="15"/>
  <c r="F112" i="15"/>
  <c r="C112" i="15" s="1"/>
  <c r="E112" i="15"/>
  <c r="D112" i="15"/>
  <c r="Z111" i="15"/>
  <c r="G111" i="15"/>
  <c r="E111" i="15"/>
  <c r="F111" i="15" s="1"/>
  <c r="C111" i="15" s="1"/>
  <c r="D111" i="15"/>
  <c r="Z110" i="15"/>
  <c r="G110" i="15"/>
  <c r="E110" i="15"/>
  <c r="F110" i="15" s="1"/>
  <c r="C110" i="15" s="1"/>
  <c r="D110" i="15"/>
  <c r="Z109" i="15"/>
  <c r="G109" i="15"/>
  <c r="E109" i="15"/>
  <c r="F109" i="15" s="1"/>
  <c r="C109" i="15" s="1"/>
  <c r="D109" i="15"/>
  <c r="Z108" i="15"/>
  <c r="G108" i="15"/>
  <c r="E108" i="15"/>
  <c r="F108" i="15" s="1"/>
  <c r="C108" i="15" s="1"/>
  <c r="D108" i="15"/>
  <c r="Z107" i="15"/>
  <c r="G107" i="15"/>
  <c r="E107" i="15"/>
  <c r="F107" i="15" s="1"/>
  <c r="C107" i="15" s="1"/>
  <c r="D107" i="15"/>
  <c r="Z106" i="15"/>
  <c r="G106" i="15"/>
  <c r="E106" i="15"/>
  <c r="F106" i="15" s="1"/>
  <c r="C106" i="15" s="1"/>
  <c r="D106" i="15"/>
  <c r="Z105" i="15"/>
  <c r="G105" i="15"/>
  <c r="E105" i="15"/>
  <c r="F105" i="15" s="1"/>
  <c r="C105" i="15" s="1"/>
  <c r="D105" i="15"/>
  <c r="Z104" i="15"/>
  <c r="G104" i="15"/>
  <c r="E104" i="15"/>
  <c r="F104" i="15" s="1"/>
  <c r="C104" i="15" s="1"/>
  <c r="D104" i="15"/>
  <c r="Z103" i="15"/>
  <c r="G103" i="15"/>
  <c r="E103" i="15"/>
  <c r="F103" i="15" s="1"/>
  <c r="C103" i="15" s="1"/>
  <c r="D103" i="15"/>
  <c r="Z102" i="15"/>
  <c r="G102" i="15"/>
  <c r="E102" i="15"/>
  <c r="F102" i="15" s="1"/>
  <c r="C102" i="15" s="1"/>
  <c r="D102" i="15"/>
  <c r="Z101" i="15"/>
  <c r="G101" i="15"/>
  <c r="E101" i="15"/>
  <c r="F101" i="15" s="1"/>
  <c r="C101" i="15" s="1"/>
  <c r="D101" i="15"/>
  <c r="Z100" i="15"/>
  <c r="G100" i="15"/>
  <c r="E100" i="15"/>
  <c r="F100" i="15" s="1"/>
  <c r="C100" i="15" s="1"/>
  <c r="D100" i="15"/>
  <c r="Z99" i="15"/>
  <c r="G99" i="15"/>
  <c r="E99" i="15"/>
  <c r="F99" i="15" s="1"/>
  <c r="C99" i="15" s="1"/>
  <c r="D99" i="15"/>
  <c r="Z98" i="15"/>
  <c r="G98" i="15"/>
  <c r="E98" i="15"/>
  <c r="F98" i="15" s="1"/>
  <c r="C98" i="15" s="1"/>
  <c r="D98" i="15"/>
  <c r="Z97" i="15"/>
  <c r="G97" i="15"/>
  <c r="E97" i="15"/>
  <c r="F97" i="15" s="1"/>
  <c r="C97" i="15" s="1"/>
  <c r="D97" i="15"/>
  <c r="Z96" i="15"/>
  <c r="G96" i="15"/>
  <c r="E96" i="15"/>
  <c r="F96" i="15" s="1"/>
  <c r="C96" i="15" s="1"/>
  <c r="D96" i="15"/>
  <c r="Z95" i="15"/>
  <c r="G95" i="15"/>
  <c r="E95" i="15"/>
  <c r="F95" i="15" s="1"/>
  <c r="C95" i="15" s="1"/>
  <c r="D95" i="15"/>
  <c r="Z94" i="15"/>
  <c r="G94" i="15"/>
  <c r="E94" i="15"/>
  <c r="F94" i="15" s="1"/>
  <c r="C94" i="15" s="1"/>
  <c r="D94" i="15"/>
  <c r="Z93" i="15"/>
  <c r="G93" i="15"/>
  <c r="E93" i="15"/>
  <c r="F93" i="15" s="1"/>
  <c r="C93" i="15" s="1"/>
  <c r="D93" i="15"/>
  <c r="Z92" i="15"/>
  <c r="G92" i="15"/>
  <c r="E92" i="15"/>
  <c r="F92" i="15" s="1"/>
  <c r="C92" i="15" s="1"/>
  <c r="D92" i="15"/>
  <c r="Z91" i="15"/>
  <c r="G91" i="15"/>
  <c r="E91" i="15"/>
  <c r="F91" i="15" s="1"/>
  <c r="C91" i="15" s="1"/>
  <c r="D91" i="15"/>
  <c r="Z90" i="15"/>
  <c r="G90" i="15"/>
  <c r="E90" i="15"/>
  <c r="F90" i="15" s="1"/>
  <c r="C90" i="15" s="1"/>
  <c r="D90" i="15"/>
  <c r="Z89" i="15"/>
  <c r="G89" i="15"/>
  <c r="E89" i="15"/>
  <c r="F89" i="15" s="1"/>
  <c r="C89" i="15" s="1"/>
  <c r="D89" i="15"/>
  <c r="Z88" i="15"/>
  <c r="G88" i="15"/>
  <c r="E88" i="15"/>
  <c r="F88" i="15" s="1"/>
  <c r="C88" i="15" s="1"/>
  <c r="D88" i="15"/>
  <c r="Z87" i="15"/>
  <c r="G87" i="15"/>
  <c r="E87" i="15"/>
  <c r="F87" i="15" s="1"/>
  <c r="C87" i="15" s="1"/>
  <c r="D87" i="15"/>
  <c r="Z86" i="15"/>
  <c r="G86" i="15"/>
  <c r="E86" i="15"/>
  <c r="F86" i="15" s="1"/>
  <c r="C86" i="15" s="1"/>
  <c r="D86" i="15"/>
  <c r="Z85" i="15"/>
  <c r="G85" i="15"/>
  <c r="E85" i="15"/>
  <c r="F85" i="15" s="1"/>
  <c r="C85" i="15" s="1"/>
  <c r="D85" i="15"/>
  <c r="Z84" i="15"/>
  <c r="G84" i="15"/>
  <c r="E84" i="15"/>
  <c r="F84" i="15" s="1"/>
  <c r="C84" i="15" s="1"/>
  <c r="D84" i="15"/>
  <c r="Z83" i="15"/>
  <c r="G83" i="15"/>
  <c r="E83" i="15"/>
  <c r="F83" i="15" s="1"/>
  <c r="C83" i="15" s="1"/>
  <c r="D83" i="15"/>
  <c r="Z82" i="15"/>
  <c r="G82" i="15"/>
  <c r="E82" i="15"/>
  <c r="F82" i="15" s="1"/>
  <c r="C82" i="15" s="1"/>
  <c r="D82" i="15"/>
  <c r="Z81" i="15"/>
  <c r="G81" i="15"/>
  <c r="E81" i="15"/>
  <c r="F81" i="15" s="1"/>
  <c r="C81" i="15" s="1"/>
  <c r="D81" i="15"/>
  <c r="Z80" i="15"/>
  <c r="G80" i="15"/>
  <c r="E80" i="15"/>
  <c r="F80" i="15" s="1"/>
  <c r="C80" i="15" s="1"/>
  <c r="D80" i="15"/>
  <c r="Z79" i="15"/>
  <c r="G79" i="15"/>
  <c r="E79" i="15"/>
  <c r="F79" i="15" s="1"/>
  <c r="C79" i="15" s="1"/>
  <c r="D79" i="15"/>
  <c r="Z78" i="15"/>
  <c r="G78" i="15"/>
  <c r="E78" i="15"/>
  <c r="F78" i="15" s="1"/>
  <c r="C78" i="15" s="1"/>
  <c r="D78" i="15"/>
  <c r="Z77" i="15"/>
  <c r="G77" i="15"/>
  <c r="E77" i="15"/>
  <c r="F77" i="15" s="1"/>
  <c r="C77" i="15" s="1"/>
  <c r="D77" i="15"/>
  <c r="Z76" i="15"/>
  <c r="G76" i="15"/>
  <c r="E76" i="15"/>
  <c r="F76" i="15" s="1"/>
  <c r="C76" i="15" s="1"/>
  <c r="D76" i="15"/>
  <c r="Z75" i="15"/>
  <c r="G75" i="15"/>
  <c r="E75" i="15"/>
  <c r="F75" i="15" s="1"/>
  <c r="C75" i="15" s="1"/>
  <c r="D75" i="15"/>
  <c r="Z74" i="15"/>
  <c r="G74" i="15"/>
  <c r="E74" i="15"/>
  <c r="F74" i="15" s="1"/>
  <c r="C74" i="15" s="1"/>
  <c r="D74" i="15"/>
  <c r="Z73" i="15"/>
  <c r="G73" i="15"/>
  <c r="E73" i="15"/>
  <c r="F73" i="15" s="1"/>
  <c r="C73" i="15" s="1"/>
  <c r="D73" i="15"/>
  <c r="Z72" i="15"/>
  <c r="G72" i="15"/>
  <c r="E72" i="15"/>
  <c r="F72" i="15" s="1"/>
  <c r="C72" i="15" s="1"/>
  <c r="D72" i="15"/>
  <c r="Z71" i="15"/>
  <c r="G71" i="15"/>
  <c r="E71" i="15"/>
  <c r="F71" i="15" s="1"/>
  <c r="C71" i="15" s="1"/>
  <c r="D71" i="15"/>
  <c r="Z70" i="15"/>
  <c r="G70" i="15"/>
  <c r="E70" i="15"/>
  <c r="F70" i="15" s="1"/>
  <c r="C70" i="15" s="1"/>
  <c r="D70" i="15"/>
  <c r="Z69" i="15"/>
  <c r="G69" i="15"/>
  <c r="E69" i="15"/>
  <c r="F69" i="15" s="1"/>
  <c r="C69" i="15" s="1"/>
  <c r="D69" i="15"/>
  <c r="Z68" i="15"/>
  <c r="G68" i="15"/>
  <c r="E68" i="15"/>
  <c r="F68" i="15" s="1"/>
  <c r="C68" i="15" s="1"/>
  <c r="D68" i="15"/>
  <c r="Z67" i="15"/>
  <c r="G67" i="15"/>
  <c r="E67" i="15"/>
  <c r="F67" i="15" s="1"/>
  <c r="C67" i="15" s="1"/>
  <c r="D67" i="15"/>
  <c r="Z66" i="15"/>
  <c r="G66" i="15"/>
  <c r="E66" i="15"/>
  <c r="F66" i="15" s="1"/>
  <c r="C66" i="15" s="1"/>
  <c r="D66" i="15"/>
  <c r="Z65" i="15"/>
  <c r="G65" i="15"/>
  <c r="E65" i="15"/>
  <c r="F65" i="15" s="1"/>
  <c r="C65" i="15" s="1"/>
  <c r="D65" i="15"/>
  <c r="Z64" i="15"/>
  <c r="G64" i="15"/>
  <c r="E64" i="15"/>
  <c r="F64" i="15" s="1"/>
  <c r="C64" i="15" s="1"/>
  <c r="D64" i="15"/>
  <c r="Z63" i="15"/>
  <c r="G63" i="15"/>
  <c r="E63" i="15"/>
  <c r="F63" i="15" s="1"/>
  <c r="C63" i="15" s="1"/>
  <c r="D63" i="15"/>
  <c r="Z62" i="15"/>
  <c r="G62" i="15"/>
  <c r="E62" i="15"/>
  <c r="F62" i="15" s="1"/>
  <c r="C62" i="15" s="1"/>
  <c r="D62" i="15"/>
  <c r="Z61" i="15"/>
  <c r="G61" i="15"/>
  <c r="E61" i="15"/>
  <c r="F61" i="15" s="1"/>
  <c r="C61" i="15" s="1"/>
  <c r="D61" i="15"/>
  <c r="Z60" i="15"/>
  <c r="G60" i="15"/>
  <c r="E60" i="15"/>
  <c r="F60" i="15" s="1"/>
  <c r="C60" i="15" s="1"/>
  <c r="D60" i="15"/>
  <c r="Z59" i="15"/>
  <c r="G59" i="15"/>
  <c r="E59" i="15"/>
  <c r="F59" i="15" s="1"/>
  <c r="C59" i="15" s="1"/>
  <c r="D59" i="15"/>
  <c r="Z58" i="15"/>
  <c r="G58" i="15"/>
  <c r="E58" i="15"/>
  <c r="F58" i="15" s="1"/>
  <c r="C58" i="15" s="1"/>
  <c r="D58" i="15"/>
  <c r="Z57" i="15"/>
  <c r="G57" i="15"/>
  <c r="E57" i="15"/>
  <c r="F57" i="15" s="1"/>
  <c r="C57" i="15" s="1"/>
  <c r="D57" i="15"/>
  <c r="Z56" i="15"/>
  <c r="G56" i="15"/>
  <c r="E56" i="15"/>
  <c r="F56" i="15" s="1"/>
  <c r="C56" i="15" s="1"/>
  <c r="D56" i="15"/>
  <c r="Z55" i="15"/>
  <c r="G55" i="15"/>
  <c r="E55" i="15"/>
  <c r="F55" i="15" s="1"/>
  <c r="C55" i="15" s="1"/>
  <c r="D55" i="15"/>
  <c r="Z54" i="15"/>
  <c r="G54" i="15"/>
  <c r="E54" i="15"/>
  <c r="F54" i="15" s="1"/>
  <c r="C54" i="15" s="1"/>
  <c r="D54" i="15"/>
  <c r="Z53" i="15"/>
  <c r="G53" i="15"/>
  <c r="E53" i="15"/>
  <c r="F53" i="15" s="1"/>
  <c r="C53" i="15" s="1"/>
  <c r="D53" i="15"/>
  <c r="Z52" i="15"/>
  <c r="G52" i="15"/>
  <c r="E52" i="15"/>
  <c r="F52" i="15" s="1"/>
  <c r="C52" i="15" s="1"/>
  <c r="D52" i="15"/>
  <c r="Z51" i="15"/>
  <c r="G51" i="15"/>
  <c r="E51" i="15"/>
  <c r="F51" i="15" s="1"/>
  <c r="C51" i="15" s="1"/>
  <c r="D51" i="15"/>
  <c r="Z50" i="15"/>
  <c r="G50" i="15"/>
  <c r="E50" i="15"/>
  <c r="F50" i="15" s="1"/>
  <c r="C50" i="15" s="1"/>
  <c r="D50" i="15"/>
  <c r="Z49" i="15"/>
  <c r="G49" i="15"/>
  <c r="E49" i="15"/>
  <c r="F49" i="15" s="1"/>
  <c r="C49" i="15" s="1"/>
  <c r="D49" i="15"/>
  <c r="Z48" i="15"/>
  <c r="G48" i="15"/>
  <c r="E48" i="15"/>
  <c r="F48" i="15" s="1"/>
  <c r="C48" i="15" s="1"/>
  <c r="D48" i="15"/>
  <c r="Z47" i="15"/>
  <c r="G47" i="15"/>
  <c r="E47" i="15"/>
  <c r="F47" i="15" s="1"/>
  <c r="C47" i="15" s="1"/>
  <c r="D47" i="15"/>
  <c r="Z46" i="15"/>
  <c r="G46" i="15"/>
  <c r="E46" i="15"/>
  <c r="F46" i="15" s="1"/>
  <c r="C46" i="15" s="1"/>
  <c r="D46" i="15"/>
  <c r="Z45" i="15"/>
  <c r="G45" i="15"/>
  <c r="E45" i="15"/>
  <c r="F45" i="15" s="1"/>
  <c r="C45" i="15" s="1"/>
  <c r="D45" i="15"/>
  <c r="Z44" i="15"/>
  <c r="G44" i="15"/>
  <c r="E44" i="15"/>
  <c r="F44" i="15" s="1"/>
  <c r="C44" i="15" s="1"/>
  <c r="D44" i="15"/>
  <c r="Z43" i="15"/>
  <c r="G43" i="15"/>
  <c r="E43" i="15"/>
  <c r="F43" i="15" s="1"/>
  <c r="C43" i="15" s="1"/>
  <c r="D43" i="15"/>
  <c r="Z42" i="15"/>
  <c r="G42" i="15"/>
  <c r="E42" i="15"/>
  <c r="F42" i="15" s="1"/>
  <c r="C42" i="15" s="1"/>
  <c r="D42" i="15"/>
  <c r="Z41" i="15"/>
  <c r="G41" i="15"/>
  <c r="E41" i="15"/>
  <c r="F41" i="15" s="1"/>
  <c r="C41" i="15" s="1"/>
  <c r="D41" i="15"/>
  <c r="Z40" i="15"/>
  <c r="G40" i="15"/>
  <c r="E40" i="15"/>
  <c r="F40" i="15" s="1"/>
  <c r="C40" i="15" s="1"/>
  <c r="D40" i="15"/>
  <c r="Z39" i="15"/>
  <c r="G39" i="15"/>
  <c r="E39" i="15"/>
  <c r="F39" i="15" s="1"/>
  <c r="C39" i="15" s="1"/>
  <c r="D39" i="15"/>
  <c r="Z38" i="15"/>
  <c r="G38" i="15"/>
  <c r="E38" i="15"/>
  <c r="F38" i="15" s="1"/>
  <c r="C38" i="15" s="1"/>
  <c r="D38" i="15"/>
  <c r="Z37" i="15"/>
  <c r="G37" i="15"/>
  <c r="E37" i="15"/>
  <c r="F37" i="15" s="1"/>
  <c r="C37" i="15" s="1"/>
  <c r="D37" i="15"/>
  <c r="Z36" i="15"/>
  <c r="G36" i="15"/>
  <c r="E36" i="15"/>
  <c r="F36" i="15" s="1"/>
  <c r="C36" i="15" s="1"/>
  <c r="D36" i="15"/>
  <c r="Z35" i="15"/>
  <c r="G35" i="15"/>
  <c r="E35" i="15"/>
  <c r="F35" i="15" s="1"/>
  <c r="C35" i="15" s="1"/>
  <c r="D35" i="15"/>
  <c r="Z34" i="15"/>
  <c r="G34" i="15"/>
  <c r="E34" i="15"/>
  <c r="F34" i="15" s="1"/>
  <c r="C34" i="15" s="1"/>
  <c r="D34" i="15"/>
  <c r="Z33" i="15"/>
  <c r="G33" i="15"/>
  <c r="E33" i="15"/>
  <c r="F33" i="15" s="1"/>
  <c r="C33" i="15" s="1"/>
  <c r="D33" i="15"/>
  <c r="Z32" i="15"/>
  <c r="G32" i="15"/>
  <c r="E32" i="15"/>
  <c r="F32" i="15" s="1"/>
  <c r="C32" i="15" s="1"/>
  <c r="D32" i="15"/>
  <c r="Z31" i="15"/>
  <c r="G31" i="15"/>
  <c r="E31" i="15"/>
  <c r="F31" i="15" s="1"/>
  <c r="C31" i="15" s="1"/>
  <c r="D31" i="15"/>
  <c r="Z30" i="15"/>
  <c r="G30" i="15"/>
  <c r="E30" i="15"/>
  <c r="F30" i="15" s="1"/>
  <c r="C30" i="15" s="1"/>
  <c r="D30" i="15"/>
  <c r="Z29" i="15"/>
  <c r="G29" i="15"/>
  <c r="E29" i="15"/>
  <c r="F29" i="15" s="1"/>
  <c r="C29" i="15" s="1"/>
  <c r="D29" i="15"/>
  <c r="Z28" i="15"/>
  <c r="G28" i="15"/>
  <c r="E28" i="15"/>
  <c r="F28" i="15" s="1"/>
  <c r="C28" i="15" s="1"/>
  <c r="D28" i="15"/>
  <c r="Z27" i="15"/>
  <c r="G27" i="15"/>
  <c r="E27" i="15"/>
  <c r="F27" i="15" s="1"/>
  <c r="C27" i="15" s="1"/>
  <c r="D27" i="15"/>
  <c r="Z26" i="15"/>
  <c r="G26" i="15"/>
  <c r="E26" i="15"/>
  <c r="F26" i="15" s="1"/>
  <c r="C26" i="15" s="1"/>
  <c r="D26" i="15"/>
  <c r="Z25" i="15"/>
  <c r="G25" i="15"/>
  <c r="E25" i="15"/>
  <c r="F25" i="15" s="1"/>
  <c r="C25" i="15" s="1"/>
  <c r="D25" i="15"/>
  <c r="Z24" i="15"/>
  <c r="G24" i="15"/>
  <c r="E24" i="15"/>
  <c r="F24" i="15" s="1"/>
  <c r="C24" i="15" s="1"/>
  <c r="D24" i="15"/>
  <c r="Z23" i="15"/>
  <c r="G23" i="15"/>
  <c r="E23" i="15"/>
  <c r="F23" i="15" s="1"/>
  <c r="C23" i="15" s="1"/>
  <c r="D23" i="15"/>
  <c r="Z22" i="15"/>
  <c r="G22" i="15"/>
  <c r="E22" i="15"/>
  <c r="F22" i="15" s="1"/>
  <c r="C22" i="15" s="1"/>
  <c r="D22" i="15"/>
  <c r="Z21" i="15"/>
  <c r="G21" i="15"/>
  <c r="E21" i="15"/>
  <c r="F21" i="15" s="1"/>
  <c r="C21" i="15" s="1"/>
  <c r="D21" i="15"/>
  <c r="Z20" i="15"/>
  <c r="G20" i="15"/>
  <c r="E20" i="15"/>
  <c r="F20" i="15" s="1"/>
  <c r="C20" i="15" s="1"/>
  <c r="D20" i="15"/>
  <c r="Z19" i="15"/>
  <c r="G19" i="15"/>
  <c r="E19" i="15"/>
  <c r="F19" i="15" s="1"/>
  <c r="C19" i="15" s="1"/>
  <c r="D19" i="15"/>
  <c r="Z18" i="15"/>
  <c r="G18" i="15"/>
  <c r="E18" i="15"/>
  <c r="F18" i="15" s="1"/>
  <c r="C18" i="15" s="1"/>
  <c r="D18" i="15"/>
  <c r="Z17" i="15"/>
  <c r="G17" i="15"/>
  <c r="E17" i="15"/>
  <c r="F17" i="15" s="1"/>
  <c r="C17" i="15" s="1"/>
  <c r="D17" i="15"/>
  <c r="Z16" i="15"/>
  <c r="G16" i="15"/>
  <c r="E16" i="15"/>
  <c r="F16" i="15" s="1"/>
  <c r="C16" i="15" s="1"/>
  <c r="D16" i="15"/>
  <c r="Z15" i="15"/>
  <c r="G15" i="15"/>
  <c r="E15" i="15"/>
  <c r="F15" i="15" s="1"/>
  <c r="C15" i="15" s="1"/>
  <c r="D15" i="15"/>
  <c r="Z14" i="15"/>
  <c r="G14" i="15"/>
  <c r="E14" i="15"/>
  <c r="F14" i="15" s="1"/>
  <c r="C14" i="15" s="1"/>
  <c r="D14" i="15"/>
  <c r="Z13" i="15"/>
  <c r="G13" i="15"/>
  <c r="E13" i="15"/>
  <c r="F13" i="15" s="1"/>
  <c r="C13" i="15" s="1"/>
  <c r="D13" i="15"/>
  <c r="Z12" i="15"/>
  <c r="G12" i="15"/>
  <c r="E12" i="15"/>
  <c r="F12" i="15" s="1"/>
  <c r="C12" i="15" s="1"/>
  <c r="D12" i="15"/>
  <c r="Z11" i="15"/>
  <c r="E11" i="15"/>
  <c r="F11" i="15" s="1"/>
  <c r="C11" i="15" s="1"/>
  <c r="D11" i="15"/>
  <c r="Z10" i="15"/>
  <c r="G10" i="15"/>
  <c r="E10" i="15"/>
  <c r="F10" i="15" s="1"/>
  <c r="C10" i="15" s="1"/>
  <c r="D10" i="15"/>
  <c r="Z9" i="15"/>
  <c r="E9" i="15"/>
  <c r="F9" i="15" s="1"/>
  <c r="C9" i="15" s="1"/>
  <c r="D9" i="15"/>
  <c r="Z8" i="15"/>
  <c r="AA8" i="15" s="1"/>
  <c r="E8" i="15"/>
  <c r="F8" i="15" s="1"/>
  <c r="C8" i="15" s="1"/>
  <c r="D8" i="15"/>
  <c r="Q333" i="23" l="1"/>
  <c r="N332" i="23"/>
  <c r="M332" i="23"/>
  <c r="H331" i="23"/>
  <c r="H332" i="23"/>
  <c r="H333" i="23"/>
  <c r="I332" i="23"/>
  <c r="K333" i="23"/>
  <c r="K331" i="23"/>
  <c r="K332" i="23"/>
  <c r="O332" i="23"/>
  <c r="O333" i="23"/>
  <c r="O331" i="23"/>
  <c r="Q333" i="22"/>
  <c r="Q332" i="22"/>
  <c r="M332" i="22"/>
  <c r="H331" i="22"/>
  <c r="H332" i="22"/>
  <c r="H333" i="22"/>
  <c r="N332" i="22"/>
  <c r="I332" i="22"/>
  <c r="K333" i="22"/>
  <c r="K331" i="22"/>
  <c r="K332" i="22"/>
  <c r="O332" i="22"/>
  <c r="O333" i="22"/>
  <c r="O331" i="22"/>
  <c r="Q333" i="21"/>
  <c r="M332" i="20"/>
  <c r="Q332" i="21"/>
  <c r="H331" i="21"/>
  <c r="H332" i="21"/>
  <c r="H333" i="21"/>
  <c r="N332" i="21"/>
  <c r="I332" i="21"/>
  <c r="O332" i="21"/>
  <c r="O333" i="21"/>
  <c r="O331" i="21"/>
  <c r="K333" i="21"/>
  <c r="K331" i="21"/>
  <c r="K332" i="21"/>
  <c r="Q331" i="21"/>
  <c r="M332" i="21"/>
  <c r="N332" i="20"/>
  <c r="I332" i="20"/>
  <c r="H331" i="20"/>
  <c r="H332" i="20"/>
  <c r="H333" i="20"/>
  <c r="K333" i="20"/>
  <c r="K331" i="20"/>
  <c r="K332" i="20"/>
  <c r="O332" i="20"/>
  <c r="O333" i="20"/>
  <c r="O331" i="20"/>
  <c r="Q332" i="19"/>
  <c r="Q332" i="20"/>
  <c r="H331" i="19"/>
  <c r="H332" i="19"/>
  <c r="H333" i="19"/>
  <c r="I332" i="19"/>
  <c r="O332" i="19"/>
  <c r="O333" i="19"/>
  <c r="O331" i="19"/>
  <c r="K333" i="19"/>
  <c r="K331" i="19"/>
  <c r="K332" i="19"/>
  <c r="N332" i="19"/>
  <c r="M332" i="19"/>
  <c r="AA224" i="15"/>
  <c r="AA226" i="15"/>
  <c r="U326" i="15"/>
  <c r="Q326" i="15"/>
  <c r="J326" i="15"/>
  <c r="S329" i="15"/>
  <c r="Q329" i="15"/>
  <c r="S327" i="15"/>
  <c r="N329" i="15"/>
  <c r="M328" i="15"/>
  <c r="L328" i="15"/>
  <c r="I327" i="15"/>
  <c r="U327" i="15"/>
  <c r="J327" i="15"/>
  <c r="T326" i="15"/>
  <c r="N326" i="15"/>
  <c r="I326" i="15"/>
  <c r="S328" i="15"/>
  <c r="Q328" i="15"/>
  <c r="R327" i="15"/>
  <c r="N328" i="15"/>
  <c r="M327" i="15"/>
  <c r="L327" i="15"/>
  <c r="S326" i="15"/>
  <c r="M326" i="15"/>
  <c r="R329" i="15"/>
  <c r="N327" i="15"/>
  <c r="R326" i="15"/>
  <c r="L326" i="15"/>
  <c r="T328" i="15"/>
  <c r="R328" i="15"/>
  <c r="T327" i="15"/>
  <c r="O327" i="15"/>
  <c r="M329" i="15"/>
  <c r="L329" i="15"/>
  <c r="J328" i="15"/>
  <c r="T329" i="15"/>
  <c r="Q327" i="15"/>
  <c r="J329" i="15"/>
  <c r="AA225" i="15"/>
  <c r="AA227" i="15"/>
  <c r="AA232" i="15"/>
  <c r="AA233" i="15"/>
  <c r="AA234" i="15"/>
  <c r="AA235" i="15"/>
  <c r="AA10" i="15"/>
  <c r="AA12" i="15"/>
  <c r="AA14" i="15"/>
  <c r="AA24" i="15"/>
  <c r="AA26" i="15"/>
  <c r="AA28" i="15"/>
  <c r="AA30" i="15"/>
  <c r="AA42" i="15"/>
  <c r="AA44" i="15"/>
  <c r="AA46" i="15"/>
  <c r="AA240" i="15"/>
  <c r="AA242" i="15"/>
  <c r="AA249" i="15"/>
  <c r="AA251" i="15"/>
  <c r="AA258" i="15"/>
  <c r="K328" i="15"/>
  <c r="AA9" i="15"/>
  <c r="AA11" i="15"/>
  <c r="AA13" i="15"/>
  <c r="AA15" i="15"/>
  <c r="AA25" i="15"/>
  <c r="AA27" i="15"/>
  <c r="AA29" i="15"/>
  <c r="AA31" i="15"/>
  <c r="AA40" i="15"/>
  <c r="AA41" i="15"/>
  <c r="AA43" i="15"/>
  <c r="AA45" i="15"/>
  <c r="AA47" i="15"/>
  <c r="AA241" i="15"/>
  <c r="AA243" i="15"/>
  <c r="AA248" i="15"/>
  <c r="AA250" i="15"/>
  <c r="AA256" i="15"/>
  <c r="AA257" i="15"/>
  <c r="AA259" i="15"/>
  <c r="AA144" i="15"/>
  <c r="AA145" i="15"/>
  <c r="AA146" i="15"/>
  <c r="AA147" i="15"/>
  <c r="AA152" i="15"/>
  <c r="AA153" i="15"/>
  <c r="AA154" i="15"/>
  <c r="AA155" i="15"/>
  <c r="AA56" i="15"/>
  <c r="AA59" i="15"/>
  <c r="AA61" i="15"/>
  <c r="AA74" i="15"/>
  <c r="AA112" i="15"/>
  <c r="AA113" i="15"/>
  <c r="AA114" i="15"/>
  <c r="AA115" i="15"/>
  <c r="AA120" i="15"/>
  <c r="AA121" i="15"/>
  <c r="AA122" i="15"/>
  <c r="AA123" i="15"/>
  <c r="AA128" i="15"/>
  <c r="AA129" i="15"/>
  <c r="AA130" i="15"/>
  <c r="AA131" i="15"/>
  <c r="AA136" i="15"/>
  <c r="AA137" i="15"/>
  <c r="AA138" i="15"/>
  <c r="AA139" i="15"/>
  <c r="AA208" i="15"/>
  <c r="AA209" i="15"/>
  <c r="AA210" i="15"/>
  <c r="AA211" i="15"/>
  <c r="AA216" i="15"/>
  <c r="AA217" i="15"/>
  <c r="AA218" i="15"/>
  <c r="AA219" i="15"/>
  <c r="AA288" i="15"/>
  <c r="AA289" i="15"/>
  <c r="AA290" i="15"/>
  <c r="AA291" i="15"/>
  <c r="AA296" i="15"/>
  <c r="AA297" i="15"/>
  <c r="AA298" i="15"/>
  <c r="AA299" i="15"/>
  <c r="AA315" i="15"/>
  <c r="AA316" i="15"/>
  <c r="AA304" i="15"/>
  <c r="AA305" i="15"/>
  <c r="AA306" i="15"/>
  <c r="AA307" i="15"/>
  <c r="AA312" i="15"/>
  <c r="AA319" i="15"/>
  <c r="AA320" i="15"/>
  <c r="AA324" i="15"/>
  <c r="AA325" i="15"/>
  <c r="AA58" i="15"/>
  <c r="AA62" i="15"/>
  <c r="AA72" i="15"/>
  <c r="AA75" i="15"/>
  <c r="AA160" i="15"/>
  <c r="AA161" i="15"/>
  <c r="AA162" i="15"/>
  <c r="AA163" i="15"/>
  <c r="AA168" i="15"/>
  <c r="AA169" i="15"/>
  <c r="AA170" i="15"/>
  <c r="AA171" i="15"/>
  <c r="AA57" i="15"/>
  <c r="AA60" i="15"/>
  <c r="AA63" i="15"/>
  <c r="AA73" i="15"/>
  <c r="AA80" i="15"/>
  <c r="AA81" i="15"/>
  <c r="AA82" i="15"/>
  <c r="AA83" i="15"/>
  <c r="AA96" i="15"/>
  <c r="AA97" i="15"/>
  <c r="AA98" i="15"/>
  <c r="AA99" i="15"/>
  <c r="AA104" i="15"/>
  <c r="AA105" i="15"/>
  <c r="AA106" i="15"/>
  <c r="AA107" i="15"/>
  <c r="AA176" i="15"/>
  <c r="AA177" i="15"/>
  <c r="AA178" i="15"/>
  <c r="AA179" i="15"/>
  <c r="AA184" i="15"/>
  <c r="AA185" i="15"/>
  <c r="AA186" i="15"/>
  <c r="AA187" i="15"/>
  <c r="AA192" i="15"/>
  <c r="AA193" i="15"/>
  <c r="AA194" i="15"/>
  <c r="AA195" i="15"/>
  <c r="AA200" i="15"/>
  <c r="AA201" i="15"/>
  <c r="AA202" i="15"/>
  <c r="AA203" i="15"/>
  <c r="AA264" i="15"/>
  <c r="AA265" i="15"/>
  <c r="AA266" i="15"/>
  <c r="AA267" i="15"/>
  <c r="AA272" i="15"/>
  <c r="AA273" i="15"/>
  <c r="AA274" i="15"/>
  <c r="AA275" i="15"/>
  <c r="AA280" i="15"/>
  <c r="AA281" i="15"/>
  <c r="AA282" i="15"/>
  <c r="AA283" i="15"/>
  <c r="AA16" i="15"/>
  <c r="AA17" i="15"/>
  <c r="AA18" i="15"/>
  <c r="AA19" i="15"/>
  <c r="AA32" i="15"/>
  <c r="AA33" i="15"/>
  <c r="AA34" i="15"/>
  <c r="AA35" i="15"/>
  <c r="AA48" i="15"/>
  <c r="AA49" i="15"/>
  <c r="AA50" i="15"/>
  <c r="AA51" i="15"/>
  <c r="AA64" i="15"/>
  <c r="AA65" i="15"/>
  <c r="AA66" i="15"/>
  <c r="AA67" i="15"/>
  <c r="AA85" i="15"/>
  <c r="O326" i="15"/>
  <c r="AA84" i="15"/>
  <c r="AA86" i="15"/>
  <c r="AA87" i="15"/>
  <c r="U329" i="15"/>
  <c r="I329" i="15"/>
  <c r="P328" i="15"/>
  <c r="H328" i="15"/>
  <c r="P329" i="15"/>
  <c r="H329" i="15"/>
  <c r="O328" i="15"/>
  <c r="K327" i="15"/>
  <c r="P326" i="15"/>
  <c r="H326" i="15"/>
  <c r="K329" i="15"/>
  <c r="U328" i="15"/>
  <c r="I328" i="15"/>
  <c r="P327" i="15"/>
  <c r="H327" i="15"/>
  <c r="K326" i="15"/>
  <c r="AA20" i="15"/>
  <c r="AA21" i="15"/>
  <c r="AA22" i="15"/>
  <c r="AA23" i="15"/>
  <c r="AA36" i="15"/>
  <c r="AA37" i="15"/>
  <c r="AA38" i="15"/>
  <c r="AA39" i="15"/>
  <c r="AA52" i="15"/>
  <c r="AA53" i="15"/>
  <c r="AA54" i="15"/>
  <c r="AA55" i="15"/>
  <c r="AA68" i="15"/>
  <c r="AA69" i="15"/>
  <c r="AA70" i="15"/>
  <c r="AA71" i="15"/>
  <c r="AA88" i="15"/>
  <c r="AA89" i="15"/>
  <c r="AA90" i="15"/>
  <c r="AA91" i="15"/>
  <c r="O329" i="15"/>
  <c r="AA76" i="15"/>
  <c r="AA77" i="15"/>
  <c r="AA78" i="15"/>
  <c r="AA79" i="15"/>
  <c r="AA92" i="15"/>
  <c r="AA93" i="15"/>
  <c r="AA94" i="15"/>
  <c r="AA95" i="15"/>
  <c r="AA108" i="15"/>
  <c r="AA109" i="15"/>
  <c r="AA110" i="15"/>
  <c r="AA111" i="15"/>
  <c r="AA124" i="15"/>
  <c r="AA125" i="15"/>
  <c r="AA126" i="15"/>
  <c r="AA127" i="15"/>
  <c r="AA140" i="15"/>
  <c r="AA141" i="15"/>
  <c r="AA142" i="15"/>
  <c r="AA143" i="15"/>
  <c r="AA156" i="15"/>
  <c r="AA157" i="15"/>
  <c r="AA158" i="15"/>
  <c r="AA159" i="15"/>
  <c r="AA172" i="15"/>
  <c r="AA173" i="15"/>
  <c r="AA174" i="15"/>
  <c r="AA175" i="15"/>
  <c r="AA188" i="15"/>
  <c r="AA189" i="15"/>
  <c r="AA190" i="15"/>
  <c r="AA191" i="15"/>
  <c r="AA204" i="15"/>
  <c r="AA205" i="15"/>
  <c r="AA206" i="15"/>
  <c r="AA207" i="15"/>
  <c r="AA220" i="15"/>
  <c r="AA221" i="15"/>
  <c r="AA222" i="15"/>
  <c r="AA223" i="15"/>
  <c r="AA236" i="15"/>
  <c r="AA237" i="15"/>
  <c r="AA238" i="15"/>
  <c r="AA239" i="15"/>
  <c r="AA252" i="15"/>
  <c r="AA253" i="15"/>
  <c r="AA254" i="15"/>
  <c r="AA255" i="15"/>
  <c r="AA268" i="15"/>
  <c r="AA269" i="15"/>
  <c r="AA270" i="15"/>
  <c r="AA271" i="15"/>
  <c r="AA284" i="15"/>
  <c r="AA285" i="15"/>
  <c r="AA286" i="15"/>
  <c r="AA287" i="15"/>
  <c r="AA300" i="15"/>
  <c r="AA301" i="15"/>
  <c r="AA302" i="15"/>
  <c r="AA303" i="15"/>
  <c r="AA317" i="15"/>
  <c r="AA318" i="15"/>
  <c r="AA322" i="15"/>
  <c r="AA323" i="15"/>
  <c r="AA100" i="15"/>
  <c r="AA101" i="15"/>
  <c r="AA102" i="15"/>
  <c r="AA103" i="15"/>
  <c r="AA116" i="15"/>
  <c r="AA117" i="15"/>
  <c r="AA118" i="15"/>
  <c r="AA119" i="15"/>
  <c r="AA132" i="15"/>
  <c r="AA133" i="15"/>
  <c r="AA134" i="15"/>
  <c r="AA135" i="15"/>
  <c r="AA148" i="15"/>
  <c r="AA149" i="15"/>
  <c r="AA150" i="15"/>
  <c r="AA151" i="15"/>
  <c r="AA164" i="15"/>
  <c r="AA165" i="15"/>
  <c r="AA166" i="15"/>
  <c r="AA167" i="15"/>
  <c r="AA180" i="15"/>
  <c r="AA181" i="15"/>
  <c r="AA182" i="15"/>
  <c r="AA183" i="15"/>
  <c r="AA196" i="15"/>
  <c r="AA197" i="15"/>
  <c r="AA198" i="15"/>
  <c r="AA199" i="15"/>
  <c r="AA212" i="15"/>
  <c r="AA213" i="15"/>
  <c r="AA214" i="15"/>
  <c r="AA215" i="15"/>
  <c r="AA228" i="15"/>
  <c r="AA229" i="15"/>
  <c r="AA230" i="15"/>
  <c r="AA231" i="15"/>
  <c r="AA244" i="15"/>
  <c r="AA245" i="15"/>
  <c r="AA246" i="15"/>
  <c r="AA247" i="15"/>
  <c r="AA260" i="15"/>
  <c r="AA261" i="15"/>
  <c r="AA262" i="15"/>
  <c r="AA263" i="15"/>
  <c r="AA276" i="15"/>
  <c r="AA277" i="15"/>
  <c r="AA278" i="15"/>
  <c r="AA279" i="15"/>
  <c r="AA292" i="15"/>
  <c r="AA293" i="15"/>
  <c r="AA294" i="15"/>
  <c r="AA295" i="15"/>
  <c r="AA308" i="15"/>
  <c r="AA309" i="15"/>
  <c r="AA310" i="15"/>
  <c r="AA311" i="15"/>
  <c r="AA314" i="15"/>
  <c r="E10" i="1"/>
  <c r="E5" i="1"/>
  <c r="E6" i="1"/>
  <c r="E7" i="1"/>
  <c r="E9" i="1"/>
  <c r="E8" i="1"/>
  <c r="K22" i="1"/>
  <c r="K26" i="1"/>
  <c r="K23" i="1"/>
  <c r="K27" i="1"/>
  <c r="K24" i="1"/>
  <c r="K25" i="1"/>
  <c r="E22" i="1"/>
  <c r="E23" i="1"/>
  <c r="E27" i="1"/>
  <c r="E25" i="1"/>
  <c r="E26" i="1"/>
  <c r="E24" i="1"/>
  <c r="K5" i="1"/>
  <c r="K6" i="1"/>
  <c r="K10" i="1"/>
  <c r="K7" i="1"/>
  <c r="K8" i="1"/>
  <c r="K9" i="1"/>
  <c r="E132" i="1"/>
  <c r="E134" i="1"/>
  <c r="E136" i="1"/>
  <c r="E133" i="1"/>
  <c r="E135" i="1"/>
  <c r="E137" i="1"/>
  <c r="T330" i="15" l="1"/>
  <c r="R330" i="15"/>
  <c r="S330" i="15"/>
  <c r="N330" i="15"/>
  <c r="Q330" i="15"/>
  <c r="L330" i="15"/>
  <c r="M330" i="15"/>
  <c r="J330" i="15"/>
  <c r="U330" i="15"/>
  <c r="O330" i="15"/>
  <c r="H330" i="15"/>
  <c r="H333" i="15" s="1"/>
  <c r="K330" i="15"/>
  <c r="P330" i="15"/>
  <c r="I330" i="15"/>
  <c r="I333" i="15" l="1"/>
  <c r="I332" i="15"/>
  <c r="I331" i="15"/>
  <c r="N333" i="15"/>
  <c r="N331" i="15"/>
  <c r="N332" i="15"/>
  <c r="M331" i="15"/>
  <c r="M333" i="15"/>
  <c r="M332" i="15"/>
  <c r="K333" i="15"/>
  <c r="K331" i="15"/>
  <c r="K332" i="15"/>
  <c r="Q331" i="15"/>
  <c r="Q333" i="15"/>
  <c r="Q332" i="15"/>
  <c r="O331" i="15"/>
  <c r="O333" i="15"/>
  <c r="O332" i="15"/>
  <c r="H332" i="15"/>
  <c r="H331" i="15"/>
</calcChain>
</file>

<file path=xl/sharedStrings.xml><?xml version="1.0" encoding="utf-8"?>
<sst xmlns="http://schemas.openxmlformats.org/spreadsheetml/2006/main" count="353" uniqueCount="129">
  <si>
    <t>Semaine</t>
  </si>
  <si>
    <t>Visa</t>
  </si>
  <si>
    <t>DAG</t>
  </si>
  <si>
    <t>Objectifs</t>
  </si>
  <si>
    <t>Référence Épargne</t>
  </si>
  <si>
    <t>Sollicitation</t>
  </si>
  <si>
    <t>Automatisation</t>
  </si>
  <si>
    <t>Réalisé</t>
  </si>
  <si>
    <t>% de l'objectif annuel</t>
  </si>
  <si>
    <t>Veuillez inscrire votre nom</t>
  </si>
  <si>
    <t>Semaine débutant le:</t>
  </si>
  <si>
    <t>Jour</t>
  </si>
  <si>
    <t>Semaine #</t>
  </si>
  <si>
    <t>CDS</t>
  </si>
  <si>
    <t>Référence Convenance</t>
  </si>
  <si>
    <t>Commentaires</t>
  </si>
  <si>
    <t>Total</t>
  </si>
  <si>
    <t>Restant</t>
  </si>
  <si>
    <t>Lundi</t>
  </si>
  <si>
    <t>Mardi</t>
  </si>
  <si>
    <t>Mercredi</t>
  </si>
  <si>
    <t>Jeudi</t>
  </si>
  <si>
    <t>Vendredi</t>
  </si>
  <si>
    <t>Samedi</t>
  </si>
  <si>
    <t>PS-1</t>
  </si>
  <si>
    <t>1</t>
  </si>
  <si>
    <t>PS-2</t>
  </si>
  <si>
    <t>2</t>
  </si>
  <si>
    <t>PS-4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</si>
  <si>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</si>
  <si>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</si>
  <si>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</si>
  <si>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</si>
  <si>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</si>
  <si>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</si>
  <si>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</si>
  <si>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</si>
  <si>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</si>
  <si>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</si>
  <si>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</si>
  <si>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</si>
  <si>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</si>
  <si>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</si>
  <si>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</si>
  <si>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</si>
  <si>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</si>
  <si>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</si>
  <si>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</si>
  <si>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</si>
  <si>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</si>
  <si>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</si>
  <si>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</si>
  <si>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</si>
  <si>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</si>
  <si>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</si>
  <si>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</si>
  <si>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</si>
  <si>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</si>
  <si>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</si>
  <si>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</si>
  <si>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</si>
  <si>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</si>
  <si>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</si>
  <si>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</si>
  <si>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</si>
  <si>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</si>
  <si>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</si>
  <si>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</si>
  <si>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</si>
  <si>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</si>
  <si>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</si>
  <si>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</si>
  <si>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</si>
  <si>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</si>
  <si>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</si>
  <si>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</si>
  <si>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</si>
  <si>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</si>
  <si>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</si>
  <si>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</si>
  <si>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Mot de passe</t>
  </si>
  <si>
    <t>Utilisateur</t>
  </si>
  <si>
    <t>Nom</t>
  </si>
  <si>
    <t>% de l'objectif cummulatif</t>
  </si>
  <si>
    <t>S.O.</t>
  </si>
  <si>
    <t xml:space="preserve">Mon portail d'objectifs </t>
  </si>
  <si>
    <t>% de l'objectif 
cumulatif</t>
  </si>
  <si>
    <t>% de l'objectif 
annuel</t>
  </si>
  <si>
    <t>CDS - 1</t>
  </si>
  <si>
    <t>CDS - 2</t>
  </si>
  <si>
    <t>CDS - 4</t>
  </si>
  <si>
    <t>CDS - Tous</t>
  </si>
  <si>
    <t>Produit A</t>
  </si>
  <si>
    <t>Produit B</t>
  </si>
  <si>
    <t>Produit C</t>
  </si>
  <si>
    <t>Produit D</t>
  </si>
  <si>
    <t>Produit E</t>
  </si>
  <si>
    <t>Produit F</t>
  </si>
  <si>
    <t>Produit G</t>
  </si>
  <si>
    <t>Vente</t>
  </si>
  <si>
    <t>A</t>
  </si>
  <si>
    <t>B</t>
  </si>
  <si>
    <t>C</t>
  </si>
  <si>
    <t>D</t>
  </si>
  <si>
    <t>E</t>
  </si>
  <si>
    <t>F</t>
  </si>
  <si>
    <t>G</t>
  </si>
  <si>
    <t>A-1</t>
  </si>
  <si>
    <t>B-1</t>
  </si>
  <si>
    <t>B-2</t>
  </si>
  <si>
    <t>C-1</t>
  </si>
  <si>
    <t>C-2</t>
  </si>
  <si>
    <t>D-1</t>
  </si>
  <si>
    <t>D-2</t>
  </si>
  <si>
    <t>E-1</t>
  </si>
  <si>
    <t>E2</t>
  </si>
  <si>
    <t>G-1</t>
  </si>
  <si>
    <t>G-2</t>
  </si>
  <si>
    <t>G-3</t>
  </si>
  <si>
    <t>G-4</t>
  </si>
  <si>
    <t>G-5</t>
  </si>
  <si>
    <t>CDS-1</t>
  </si>
  <si>
    <t>CDS-2</t>
  </si>
  <si>
    <t>CDS-4</t>
  </si>
  <si>
    <t>#1</t>
  </si>
  <si>
    <t>#2</t>
  </si>
  <si>
    <t>#4</t>
  </si>
  <si>
    <t>#5</t>
  </si>
  <si>
    <t>#6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</si>
</sst>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0"/>
      <name val="Century Gothic"/>
      <family val="2"/>
    </font>
    <font>
      <b/>
      <sz val="11"/>
      <color rgb="FF0070C0"/>
      <name val="Century Gothic"/>
      <family val="2"/>
    </font>
    <font>
      <b/>
      <sz val="22"/>
      <color theme="0"/>
      <name val="Century Gothic"/>
      <family val="2"/>
    </font>
    <font>
      <sz val="22"/>
      <color theme="1"/>
      <name val="Century Gothic"/>
      <family val="2"/>
    </font>
    <font>
      <b/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8" tint="0.59999389629810485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8" tint="-0.499984740745262"/>
      <name val="Century Gothic"/>
      <family val="2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4"/>
      <color rgb="FF0070C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gray0625">
        <fgColor rgb="FFC00000"/>
        <bgColor theme="8" tint="-0.499984740745262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0.499984740745262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/>
      <right/>
      <top style="thin">
        <color rgb="FFC00000"/>
      </top>
      <bottom style="thin">
        <color rgb="FFC00000"/>
      </bottom>
      <diagonal/>
    </border>
    <border>
      <left/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C00000"/>
      </right>
      <top/>
      <bottom style="thin">
        <color rgb="FF0070C0"/>
      </bottom>
      <diagonal/>
    </border>
    <border>
      <left style="thin">
        <color rgb="FFC0000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C00000"/>
      </right>
      <top style="thin">
        <color rgb="FF0070C0"/>
      </top>
      <bottom style="thin">
        <color rgb="FF0070C0"/>
      </bottom>
      <diagonal/>
    </border>
    <border>
      <left style="thin">
        <color rgb="FFC0000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C00000"/>
      </right>
      <top style="thin">
        <color rgb="FF0070C0"/>
      </top>
      <bottom/>
      <diagonal/>
    </border>
    <border>
      <left/>
      <right/>
      <top/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/>
      <diagonal/>
    </border>
    <border>
      <left/>
      <right/>
      <top style="thin">
        <color rgb="FF0070C0"/>
      </top>
      <bottom/>
      <diagonal/>
    </border>
    <border>
      <left/>
      <right/>
      <top style="thin">
        <color rgb="FF0070C0"/>
      </top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/>
      <right/>
      <top style="thin">
        <color rgb="FFC00000"/>
      </top>
      <bottom/>
      <diagonal/>
    </border>
    <border>
      <left/>
      <right style="thin">
        <color rgb="FFC00000"/>
      </right>
      <top style="thin">
        <color rgb="FFC0000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/>
      <diagonal/>
    </border>
    <border>
      <left style="thin">
        <color rgb="FFC00000"/>
      </left>
      <right/>
      <top style="thin">
        <color rgb="FF0070C0"/>
      </top>
      <bottom style="thin">
        <color rgb="FF0070C0"/>
      </bottom>
      <diagonal/>
    </border>
    <border>
      <left style="thin">
        <color rgb="FFC00000"/>
      </left>
      <right/>
      <top style="thin">
        <color rgb="FF0070C0"/>
      </top>
      <bottom style="thin">
        <color rgb="FFC00000"/>
      </bottom>
      <diagonal/>
    </border>
    <border>
      <left style="thin">
        <color rgb="FF0070C0"/>
      </left>
      <right style="thin">
        <color rgb="FF0070C0"/>
      </right>
      <top style="thin">
        <color rgb="FFC0000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C00000"/>
      </top>
      <bottom/>
      <diagonal/>
    </border>
    <border>
      <left style="thin">
        <color rgb="FFC00000"/>
      </left>
      <right/>
      <top style="thin">
        <color rgb="FF0070C0"/>
      </top>
      <bottom/>
      <diagonal/>
    </border>
    <border>
      <left style="thin">
        <color rgb="FF0070C0"/>
      </left>
      <right style="thin">
        <color rgb="FFC00000"/>
      </right>
      <top style="medium">
        <color rgb="FFC00000"/>
      </top>
      <bottom/>
      <diagonal/>
    </border>
    <border>
      <left style="thin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thin">
        <color rgb="FF0070C0"/>
      </right>
      <top style="medium">
        <color rgb="FFC00000"/>
      </top>
      <bottom/>
      <diagonal/>
    </border>
    <border>
      <left style="thin">
        <color rgb="FFC00000"/>
      </left>
      <right style="thin">
        <color rgb="FFC00000"/>
      </right>
      <top style="medium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C00000"/>
      </right>
      <top style="medium">
        <color rgb="FFC00000"/>
      </top>
      <bottom style="thin">
        <color rgb="FFC00000"/>
      </bottom>
      <diagonal/>
    </border>
    <border>
      <left style="thin">
        <color rgb="FFC00000"/>
      </left>
      <right style="medium">
        <color rgb="FFC00000"/>
      </right>
      <top style="medium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rgb="FFC00000"/>
      </left>
      <right/>
      <top/>
      <bottom style="thin">
        <color rgb="FFC00000"/>
      </bottom>
      <diagonal/>
    </border>
    <border>
      <left/>
      <right/>
      <top/>
      <bottom style="thin">
        <color rgb="FFC00000"/>
      </bottom>
      <diagonal/>
    </border>
    <border>
      <left/>
      <right style="thin">
        <color rgb="FFC00000"/>
      </right>
      <top/>
      <bottom style="thin">
        <color rgb="FFC00000"/>
      </bottom>
      <diagonal/>
    </border>
    <border>
      <left style="thin">
        <color rgb="FFC00000"/>
      </left>
      <right style="thin">
        <color rgb="FFC00000"/>
      </right>
      <top/>
      <bottom style="thin">
        <color rgb="FFC00000"/>
      </bottom>
      <diagonal/>
    </border>
    <border>
      <left style="thin">
        <color rgb="FFC00000"/>
      </left>
      <right style="thin">
        <color rgb="FFC00000"/>
      </right>
      <top/>
      <bottom/>
      <diagonal/>
    </border>
    <border>
      <left style="thin">
        <color rgb="FFC00000"/>
      </left>
      <right style="medium">
        <color rgb="FFC00000"/>
      </right>
      <top style="thin">
        <color rgb="FFC00000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49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14" fontId="0" fillId="5" borderId="0" xfId="0" applyNumberFormat="1" applyFill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14" fontId="0" fillId="2" borderId="20" xfId="0" applyNumberFormat="1" applyFill="1" applyBorder="1" applyAlignment="1">
      <alignment horizontal="left" vertical="center" wrapText="1"/>
    </xf>
    <xf numFmtId="14" fontId="0" fillId="2" borderId="21" xfId="0" applyNumberFormat="1" applyFill="1" applyBorder="1" applyAlignment="1">
      <alignment horizontal="left" vertical="center" wrapText="1"/>
    </xf>
    <xf numFmtId="0" fontId="0" fillId="2" borderId="21" xfId="0" applyFill="1" applyBorder="1" applyAlignment="1">
      <alignment horizontal="left" vertical="center" wrapText="1"/>
    </xf>
    <xf numFmtId="14" fontId="0" fillId="0" borderId="24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9" fontId="7" fillId="0" borderId="0" xfId="1" applyFont="1" applyAlignment="1">
      <alignment horizontal="center" wrapText="1"/>
    </xf>
    <xf numFmtId="0" fontId="7" fillId="0" borderId="0" xfId="0" applyFont="1" applyAlignment="1">
      <alignment horizontal="center" vertical="center"/>
    </xf>
    <xf numFmtId="0" fontId="7" fillId="5" borderId="0" xfId="0" applyFont="1" applyFill="1"/>
    <xf numFmtId="0" fontId="7" fillId="5" borderId="0" xfId="0" applyFont="1" applyFill="1" applyAlignment="1">
      <alignment horizontal="center"/>
    </xf>
    <xf numFmtId="0" fontId="7" fillId="5" borderId="0" xfId="0" applyFont="1" applyFill="1" applyAlignment="1">
      <alignment horizontal="center" wrapText="1"/>
    </xf>
    <xf numFmtId="9" fontId="7" fillId="5" borderId="0" xfId="1" applyFont="1" applyFill="1" applyAlignment="1">
      <alignment horizontal="center" wrapText="1"/>
    </xf>
    <xf numFmtId="0" fontId="11" fillId="0" borderId="0" xfId="0" applyFont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0" fontId="0" fillId="0" borderId="29" xfId="0" applyBorder="1" applyAlignment="1" applyProtection="1">
      <alignment horizontal="center" vertical="center" wrapText="1"/>
      <protection locked="0"/>
    </xf>
    <xf numFmtId="14" fontId="3" fillId="0" borderId="5" xfId="0" applyNumberFormat="1" applyFont="1" applyFill="1" applyBorder="1" applyAlignment="1">
      <alignment vertical="center"/>
    </xf>
    <xf numFmtId="14" fontId="3" fillId="0" borderId="5" xfId="0" applyNumberFormat="1" applyFont="1" applyBorder="1" applyAlignment="1">
      <alignment vertical="center"/>
    </xf>
    <xf numFmtId="0" fontId="12" fillId="0" borderId="5" xfId="0" applyFont="1" applyBorder="1" applyAlignment="1">
      <alignment horizontal="center" vertical="center"/>
    </xf>
    <xf numFmtId="10" fontId="12" fillId="0" borderId="5" xfId="1" applyNumberFormat="1" applyFont="1" applyFill="1" applyBorder="1" applyAlignment="1">
      <alignment horizontal="center" vertical="center"/>
    </xf>
    <xf numFmtId="14" fontId="12" fillId="0" borderId="5" xfId="0" applyNumberFormat="1" applyFont="1" applyFill="1" applyBorder="1" applyAlignment="1">
      <alignment horizontal="center" vertical="center"/>
    </xf>
    <xf numFmtId="14" fontId="12" fillId="0" borderId="5" xfId="0" applyNumberFormat="1" applyFont="1" applyBorder="1" applyAlignment="1">
      <alignment horizontal="center" vertical="center"/>
    </xf>
    <xf numFmtId="14" fontId="12" fillId="0" borderId="23" xfId="0" applyNumberFormat="1" applyFont="1" applyFill="1" applyBorder="1" applyAlignment="1">
      <alignment horizontal="center" vertical="center"/>
    </xf>
    <xf numFmtId="14" fontId="3" fillId="0" borderId="23" xfId="0" applyNumberFormat="1" applyFont="1" applyFill="1" applyBorder="1" applyAlignment="1">
      <alignment vertical="center"/>
    </xf>
    <xf numFmtId="14" fontId="12" fillId="0" borderId="33" xfId="0" applyNumberFormat="1" applyFont="1" applyFill="1" applyBorder="1" applyAlignment="1">
      <alignment horizontal="center" vertical="center"/>
    </xf>
    <xf numFmtId="14" fontId="3" fillId="0" borderId="33" xfId="0" applyNumberFormat="1" applyFont="1" applyFill="1" applyBorder="1" applyAlignment="1">
      <alignment vertical="center"/>
    </xf>
    <xf numFmtId="0" fontId="12" fillId="0" borderId="33" xfId="0" applyFont="1" applyFill="1" applyBorder="1" applyAlignment="1">
      <alignment horizontal="center" vertical="center"/>
    </xf>
    <xf numFmtId="0" fontId="7" fillId="6" borderId="0" xfId="0" applyFont="1" applyFill="1"/>
    <xf numFmtId="0" fontId="7" fillId="6" borderId="0" xfId="0" applyFont="1" applyFill="1" applyBorder="1"/>
    <xf numFmtId="0" fontId="0" fillId="7" borderId="0" xfId="0" applyFill="1" applyBorder="1"/>
    <xf numFmtId="0" fontId="0" fillId="7" borderId="0" xfId="0" applyFill="1" applyBorder="1" applyProtection="1"/>
    <xf numFmtId="0" fontId="13" fillId="7" borderId="0" xfId="0" applyFont="1" applyFill="1" applyBorder="1" applyProtection="1"/>
    <xf numFmtId="0" fontId="0" fillId="8" borderId="0" xfId="0" applyFill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 wrapText="1"/>
    </xf>
    <xf numFmtId="0" fontId="6" fillId="8" borderId="0" xfId="0" applyFont="1" applyFill="1" applyAlignment="1">
      <alignment horizontal="center" vertical="center"/>
    </xf>
    <xf numFmtId="0" fontId="14" fillId="8" borderId="0" xfId="0" applyFont="1" applyFill="1" applyAlignment="1">
      <alignment horizontal="center" vertical="center"/>
    </xf>
    <xf numFmtId="0" fontId="7" fillId="8" borderId="0" xfId="0" applyFont="1" applyFill="1"/>
    <xf numFmtId="0" fontId="0" fillId="9" borderId="0" xfId="0" applyFill="1" applyAlignment="1">
      <alignment horizontal="center" vertical="center"/>
    </xf>
    <xf numFmtId="14" fontId="0" fillId="9" borderId="0" xfId="0" applyNumberFormat="1" applyFill="1" applyAlignment="1">
      <alignment horizontal="center" vertical="center"/>
    </xf>
    <xf numFmtId="0" fontId="0" fillId="9" borderId="0" xfId="0" applyFill="1" applyAlignment="1">
      <alignment horizontal="center" vertical="center" wrapText="1"/>
    </xf>
    <xf numFmtId="0" fontId="14" fillId="9" borderId="0" xfId="0" applyFont="1" applyFill="1" applyAlignment="1">
      <alignment horizontal="center" vertical="center"/>
    </xf>
    <xf numFmtId="0" fontId="6" fillId="9" borderId="0" xfId="0" applyFont="1" applyFill="1" applyAlignment="1" applyProtection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0" fillId="9" borderId="0" xfId="0" applyFill="1" applyBorder="1" applyAlignment="1">
      <alignment vertical="center"/>
    </xf>
    <xf numFmtId="14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 wrapText="1"/>
    </xf>
    <xf numFmtId="0" fontId="0" fillId="9" borderId="0" xfId="0" applyNumberFormat="1" applyFon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 wrapText="1"/>
    </xf>
    <xf numFmtId="14" fontId="3" fillId="10" borderId="5" xfId="0" applyNumberFormat="1" applyFont="1" applyFill="1" applyBorder="1" applyAlignment="1">
      <alignment vertical="center"/>
    </xf>
    <xf numFmtId="14" fontId="3" fillId="10" borderId="23" xfId="0" applyNumberFormat="1" applyFont="1" applyFill="1" applyBorder="1" applyAlignment="1">
      <alignment vertical="center"/>
    </xf>
    <xf numFmtId="14" fontId="3" fillId="10" borderId="33" xfId="0" applyNumberFormat="1" applyFont="1" applyFill="1" applyBorder="1" applyAlignment="1">
      <alignment vertical="center"/>
    </xf>
    <xf numFmtId="0" fontId="3" fillId="10" borderId="5" xfId="0" applyFont="1" applyFill="1" applyBorder="1" applyAlignment="1">
      <alignment horizontal="center" vertical="center" wrapText="1"/>
    </xf>
    <xf numFmtId="0" fontId="3" fillId="10" borderId="23" xfId="0" applyFont="1" applyFill="1" applyBorder="1" applyAlignment="1">
      <alignment horizontal="center" vertical="center" wrapText="1"/>
    </xf>
    <xf numFmtId="0" fontId="3" fillId="10" borderId="33" xfId="0" applyFont="1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 wrapText="1"/>
    </xf>
    <xf numFmtId="0" fontId="6" fillId="9" borderId="0" xfId="0" applyFont="1" applyFill="1" applyAlignment="1">
      <alignment horizontal="center" vertical="center" wrapText="1"/>
    </xf>
    <xf numFmtId="0" fontId="6" fillId="9" borderId="0" xfId="0" applyFont="1" applyFill="1" applyBorder="1" applyAlignment="1">
      <alignment horizontal="center" vertical="center"/>
    </xf>
    <xf numFmtId="0" fontId="15" fillId="9" borderId="0" xfId="0" applyFont="1" applyFill="1" applyAlignment="1">
      <alignment horizontal="center" vertical="center"/>
    </xf>
    <xf numFmtId="0" fontId="15" fillId="9" borderId="0" xfId="0" applyFont="1" applyFill="1" applyAlignment="1">
      <alignment horizontal="center" vertical="center" wrapText="1"/>
    </xf>
    <xf numFmtId="0" fontId="15" fillId="9" borderId="0" xfId="0" applyFont="1" applyFill="1" applyBorder="1" applyAlignment="1">
      <alignment horizontal="center" vertical="center"/>
    </xf>
    <xf numFmtId="0" fontId="7" fillId="9" borderId="0" xfId="0" applyFont="1" applyFill="1"/>
    <xf numFmtId="0" fontId="7" fillId="9" borderId="0" xfId="0" applyFont="1" applyFill="1" applyAlignment="1">
      <alignment horizontal="center"/>
    </xf>
    <xf numFmtId="0" fontId="7" fillId="9" borderId="0" xfId="0" applyFont="1" applyFill="1" applyAlignment="1">
      <alignment horizontal="center" wrapText="1"/>
    </xf>
    <xf numFmtId="9" fontId="7" fillId="9" borderId="0" xfId="1" applyFont="1" applyFill="1" applyAlignment="1">
      <alignment horizontal="center" wrapText="1"/>
    </xf>
    <xf numFmtId="0" fontId="7" fillId="9" borderId="0" xfId="0" applyFont="1" applyFill="1" applyAlignment="1"/>
    <xf numFmtId="0" fontId="7" fillId="9" borderId="0" xfId="0" applyFont="1" applyFill="1" applyAlignment="1">
      <alignment wrapText="1"/>
    </xf>
    <xf numFmtId="0" fontId="11" fillId="9" borderId="0" xfId="0" applyFont="1" applyFill="1" applyAlignment="1">
      <alignment vertical="center"/>
    </xf>
    <xf numFmtId="0" fontId="7" fillId="9" borderId="0" xfId="0" applyFont="1" applyFill="1" applyAlignment="1">
      <alignment horizontal="center" vertical="center"/>
    </xf>
    <xf numFmtId="0" fontId="7" fillId="9" borderId="0" xfId="0" applyFont="1" applyFill="1" applyBorder="1"/>
    <xf numFmtId="0" fontId="7" fillId="9" borderId="0" xfId="0" applyFont="1" applyFill="1" applyBorder="1" applyAlignment="1">
      <alignment horizontal="center"/>
    </xf>
    <xf numFmtId="0" fontId="7" fillId="9" borderId="0" xfId="0" applyFont="1" applyFill="1" applyBorder="1" applyAlignment="1">
      <alignment horizontal="center" wrapText="1"/>
    </xf>
    <xf numFmtId="9" fontId="7" fillId="9" borderId="0" xfId="1" applyFont="1" applyFill="1" applyBorder="1" applyAlignment="1">
      <alignment horizontal="center" wrapText="1"/>
    </xf>
    <xf numFmtId="0" fontId="8" fillId="7" borderId="5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 wrapText="1"/>
    </xf>
    <xf numFmtId="9" fontId="8" fillId="7" borderId="37" xfId="1" applyFont="1" applyFill="1" applyBorder="1" applyAlignment="1">
      <alignment horizontal="center" vertical="center" wrapText="1"/>
    </xf>
    <xf numFmtId="0" fontId="8" fillId="9" borderId="5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 wrapText="1"/>
    </xf>
    <xf numFmtId="9" fontId="8" fillId="9" borderId="5" xfId="1" applyFont="1" applyFill="1" applyBorder="1" applyAlignment="1">
      <alignment horizontal="center" vertical="center" wrapText="1"/>
    </xf>
    <xf numFmtId="0" fontId="9" fillId="9" borderId="26" xfId="0" applyFont="1" applyFill="1" applyBorder="1"/>
    <xf numFmtId="0" fontId="7" fillId="9" borderId="26" xfId="0" applyFont="1" applyFill="1" applyBorder="1" applyAlignment="1">
      <alignment horizontal="center"/>
    </xf>
    <xf numFmtId="0" fontId="7" fillId="9" borderId="26" xfId="0" applyNumberFormat="1" applyFont="1" applyFill="1" applyBorder="1" applyAlignment="1">
      <alignment horizontal="center"/>
    </xf>
    <xf numFmtId="10" fontId="7" fillId="9" borderId="27" xfId="1" applyNumberFormat="1" applyFont="1" applyFill="1" applyBorder="1" applyAlignment="1">
      <alignment horizontal="center" wrapText="1"/>
    </xf>
    <xf numFmtId="9" fontId="7" fillId="9" borderId="27" xfId="1" applyFont="1" applyFill="1" applyBorder="1" applyAlignment="1">
      <alignment horizontal="center" wrapText="1"/>
    </xf>
    <xf numFmtId="0" fontId="9" fillId="9" borderId="7" xfId="0" applyFont="1" applyFill="1" applyBorder="1"/>
    <xf numFmtId="0" fontId="7" fillId="9" borderId="7" xfId="0" applyFont="1" applyFill="1" applyBorder="1" applyAlignment="1">
      <alignment horizontal="center"/>
    </xf>
    <xf numFmtId="10" fontId="7" fillId="9" borderId="7" xfId="1" applyNumberFormat="1" applyFont="1" applyFill="1" applyBorder="1" applyAlignment="1">
      <alignment horizontal="center" wrapText="1"/>
    </xf>
    <xf numFmtId="9" fontId="7" fillId="9" borderId="7" xfId="1" applyFont="1" applyFill="1" applyBorder="1" applyAlignment="1">
      <alignment horizontal="center" wrapText="1"/>
    </xf>
    <xf numFmtId="10" fontId="7" fillId="9" borderId="8" xfId="1" applyNumberFormat="1" applyFont="1" applyFill="1" applyBorder="1" applyAlignment="1">
      <alignment horizontal="center" wrapText="1"/>
    </xf>
    <xf numFmtId="9" fontId="7" fillId="9" borderId="8" xfId="1" applyFont="1" applyFill="1" applyBorder="1" applyAlignment="1">
      <alignment horizontal="center" wrapText="1"/>
    </xf>
    <xf numFmtId="0" fontId="16" fillId="0" borderId="36" xfId="0" applyFont="1" applyBorder="1" applyAlignment="1">
      <alignment vertical="center"/>
    </xf>
    <xf numFmtId="0" fontId="16" fillId="0" borderId="5" xfId="0" applyFont="1" applyBorder="1" applyAlignment="1">
      <alignment horizontal="center" vertical="center"/>
    </xf>
    <xf numFmtId="0" fontId="16" fillId="0" borderId="5" xfId="0" applyNumberFormat="1" applyFont="1" applyBorder="1" applyAlignment="1">
      <alignment horizontal="center" vertical="center"/>
    </xf>
    <xf numFmtId="10" fontId="16" fillId="0" borderId="5" xfId="1" applyNumberFormat="1" applyFont="1" applyBorder="1" applyAlignment="1">
      <alignment horizontal="center" vertical="center" wrapText="1"/>
    </xf>
    <xf numFmtId="9" fontId="16" fillId="0" borderId="37" xfId="1" applyFont="1" applyBorder="1" applyAlignment="1">
      <alignment horizontal="center" vertical="center" wrapText="1"/>
    </xf>
    <xf numFmtId="0" fontId="16" fillId="0" borderId="38" xfId="0" applyFont="1" applyBorder="1" applyAlignment="1">
      <alignment vertical="center"/>
    </xf>
    <xf numFmtId="0" fontId="16" fillId="0" borderId="39" xfId="0" applyFont="1" applyBorder="1" applyAlignment="1">
      <alignment horizontal="center" vertical="center"/>
    </xf>
    <xf numFmtId="10" fontId="16" fillId="0" borderId="39" xfId="1" applyNumberFormat="1" applyFont="1" applyBorder="1" applyAlignment="1">
      <alignment horizontal="center" vertical="center" wrapText="1"/>
    </xf>
    <xf numFmtId="9" fontId="16" fillId="0" borderId="40" xfId="1" applyFont="1" applyBorder="1" applyAlignment="1">
      <alignment horizontal="center" vertical="center" wrapText="1"/>
    </xf>
    <xf numFmtId="0" fontId="0" fillId="9" borderId="0" xfId="0" applyFill="1" applyAlignment="1" applyProtection="1">
      <alignment horizontal="center" vertical="center"/>
    </xf>
    <xf numFmtId="0" fontId="0" fillId="0" borderId="0" xfId="0" applyFill="1" applyAlignment="1">
      <alignment horizontal="center" vertical="center" textRotation="45" wrapText="1"/>
    </xf>
    <xf numFmtId="0" fontId="0" fillId="11" borderId="5" xfId="0" applyFill="1" applyBorder="1" applyAlignment="1">
      <alignment horizontal="center" vertical="center" wrapText="1"/>
    </xf>
    <xf numFmtId="0" fontId="15" fillId="12" borderId="5" xfId="0" applyFont="1" applyFill="1" applyBorder="1" applyAlignment="1">
      <alignment horizontal="center" vertical="center"/>
    </xf>
    <xf numFmtId="0" fontId="15" fillId="12" borderId="5" xfId="0" applyFont="1" applyFill="1" applyBorder="1" applyAlignment="1">
      <alignment horizontal="center" vertical="center" wrapText="1"/>
    </xf>
    <xf numFmtId="0" fontId="18" fillId="3" borderId="5" xfId="0" applyFont="1" applyFill="1" applyBorder="1" applyAlignment="1">
      <alignment horizontal="center" vertical="center" wrapText="1"/>
    </xf>
    <xf numFmtId="14" fontId="12" fillId="0" borderId="5" xfId="0" applyNumberFormat="1" applyFont="1" applyFill="1" applyBorder="1" applyAlignment="1">
      <alignment horizontal="center" vertical="center" wrapText="1"/>
    </xf>
    <xf numFmtId="0" fontId="0" fillId="13" borderId="5" xfId="0" applyFill="1" applyBorder="1" applyAlignment="1">
      <alignment horizontal="center" vertical="center" wrapText="1"/>
    </xf>
    <xf numFmtId="0" fontId="15" fillId="14" borderId="5" xfId="0" applyFont="1" applyFill="1" applyBorder="1" applyAlignment="1">
      <alignment horizontal="center" vertical="center" wrapText="1"/>
    </xf>
    <xf numFmtId="0" fontId="0" fillId="15" borderId="45" xfId="0" applyFill="1" applyBorder="1" applyAlignment="1">
      <alignment horizontal="center" vertical="center" wrapText="1"/>
    </xf>
    <xf numFmtId="0" fontId="20" fillId="0" borderId="23" xfId="0" applyFont="1" applyFill="1" applyBorder="1" applyAlignment="1" applyProtection="1">
      <alignment horizontal="center" vertical="center"/>
      <protection locked="0"/>
    </xf>
    <xf numFmtId="0" fontId="12" fillId="0" borderId="5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0" fontId="2" fillId="15" borderId="45" xfId="0" applyFont="1" applyFill="1" applyBorder="1" applyAlignment="1" applyProtection="1">
      <alignment horizontal="center" vertical="center" wrapText="1"/>
      <protection locked="0"/>
    </xf>
    <xf numFmtId="0" fontId="20" fillId="0" borderId="5" xfId="0" applyFont="1" applyFill="1" applyBorder="1" applyAlignment="1" applyProtection="1">
      <alignment horizontal="center" vertical="center"/>
      <protection locked="0"/>
    </xf>
    <xf numFmtId="0" fontId="16" fillId="0" borderId="23" xfId="0" applyFont="1" applyBorder="1" applyAlignment="1">
      <alignment horizontal="center" vertical="center"/>
    </xf>
    <xf numFmtId="10" fontId="16" fillId="0" borderId="23" xfId="1" applyNumberFormat="1" applyFont="1" applyBorder="1" applyAlignment="1">
      <alignment horizontal="center" vertical="center" wrapText="1"/>
    </xf>
    <xf numFmtId="9" fontId="16" fillId="0" borderId="46" xfId="1" applyFont="1" applyBorder="1" applyAlignment="1">
      <alignment horizontal="center" vertical="center" wrapText="1"/>
    </xf>
    <xf numFmtId="0" fontId="8" fillId="7" borderId="5" xfId="0" applyFont="1" applyFill="1" applyBorder="1" applyAlignment="1">
      <alignment horizontal="center" vertical="center"/>
    </xf>
    <xf numFmtId="0" fontId="2" fillId="13" borderId="5" xfId="0" applyFont="1" applyFill="1" applyBorder="1" applyAlignment="1" applyProtection="1">
      <alignment horizontal="center" vertical="center"/>
      <protection locked="0"/>
    </xf>
    <xf numFmtId="14" fontId="3" fillId="0" borderId="30" xfId="0" applyNumberFormat="1" applyFont="1" applyBorder="1" applyAlignment="1">
      <alignment horizontal="center" vertical="center"/>
    </xf>
    <xf numFmtId="14" fontId="3" fillId="0" borderId="31" xfId="0" applyNumberFormat="1" applyFont="1" applyBorder="1" applyAlignment="1">
      <alignment horizontal="center" vertical="center"/>
    </xf>
    <xf numFmtId="14" fontId="3" fillId="0" borderId="32" xfId="0" applyNumberFormat="1" applyFont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5" fillId="7" borderId="2" xfId="0" applyFont="1" applyFill="1" applyBorder="1" applyAlignment="1" applyProtection="1">
      <alignment horizontal="center" vertical="center"/>
    </xf>
    <xf numFmtId="0" fontId="5" fillId="7" borderId="3" xfId="0" applyFont="1" applyFill="1" applyBorder="1" applyAlignment="1" applyProtection="1">
      <alignment horizontal="center" vertical="center"/>
    </xf>
    <xf numFmtId="0" fontId="5" fillId="7" borderId="4" xfId="0" applyFont="1" applyFill="1" applyBorder="1" applyAlignment="1" applyProtection="1">
      <alignment horizontal="center" vertical="center"/>
    </xf>
    <xf numFmtId="0" fontId="19" fillId="7" borderId="20" xfId="0" applyFont="1" applyFill="1" applyBorder="1" applyAlignment="1">
      <alignment horizontal="center" vertical="center"/>
    </xf>
    <xf numFmtId="0" fontId="19" fillId="7" borderId="21" xfId="0" applyFont="1" applyFill="1" applyBorder="1" applyAlignment="1">
      <alignment horizontal="center" vertical="center"/>
    </xf>
    <xf numFmtId="0" fontId="19" fillId="7" borderId="22" xfId="0" applyFont="1" applyFill="1" applyBorder="1" applyAlignment="1">
      <alignment horizontal="center" vertical="center"/>
    </xf>
    <xf numFmtId="0" fontId="19" fillId="7" borderId="41" xfId="0" applyFont="1" applyFill="1" applyBorder="1" applyAlignment="1">
      <alignment horizontal="center" vertical="center"/>
    </xf>
    <xf numFmtId="0" fontId="19" fillId="7" borderId="42" xfId="0" applyFont="1" applyFill="1" applyBorder="1" applyAlignment="1">
      <alignment horizontal="center" vertical="center"/>
    </xf>
    <xf numFmtId="0" fontId="19" fillId="7" borderId="43" xfId="0" applyFont="1" applyFill="1" applyBorder="1" applyAlignment="1">
      <alignment horizontal="center" vertical="center"/>
    </xf>
    <xf numFmtId="0" fontId="20" fillId="0" borderId="2" xfId="0" applyFont="1" applyFill="1" applyBorder="1" applyAlignment="1" applyProtection="1">
      <alignment horizontal="center" vertical="center"/>
      <protection locked="0"/>
    </xf>
    <xf numFmtId="0" fontId="20" fillId="0" borderId="4" xfId="0" applyFont="1" applyFill="1" applyBorder="1" applyAlignment="1" applyProtection="1">
      <alignment horizontal="center" vertical="center"/>
      <protection locked="0"/>
    </xf>
    <xf numFmtId="0" fontId="2" fillId="14" borderId="2" xfId="0" applyFont="1" applyFill="1" applyBorder="1" applyAlignment="1" applyProtection="1">
      <alignment horizontal="center" vertical="center"/>
      <protection locked="0"/>
    </xf>
    <xf numFmtId="0" fontId="2" fillId="14" borderId="4" xfId="0" applyFont="1" applyFill="1" applyBorder="1" applyAlignment="1" applyProtection="1">
      <alignment horizontal="center" vertical="center"/>
      <protection locked="0"/>
    </xf>
    <xf numFmtId="0" fontId="2" fillId="11" borderId="2" xfId="0" applyFont="1" applyFill="1" applyBorder="1" applyAlignment="1" applyProtection="1">
      <alignment horizontal="center" vertical="center"/>
      <protection locked="0"/>
    </xf>
    <xf numFmtId="0" fontId="2" fillId="11" borderId="4" xfId="0" applyFont="1" applyFill="1" applyBorder="1" applyAlignment="1" applyProtection="1">
      <alignment horizontal="center" vertical="center"/>
      <protection locked="0"/>
    </xf>
    <xf numFmtId="0" fontId="2" fillId="12" borderId="2" xfId="0" applyFont="1" applyFill="1" applyBorder="1" applyAlignment="1" applyProtection="1">
      <alignment horizontal="center" vertical="center"/>
      <protection locked="0"/>
    </xf>
    <xf numFmtId="0" fontId="2" fillId="12" borderId="4" xfId="0" applyFont="1" applyFill="1" applyBorder="1" applyAlignment="1" applyProtection="1">
      <alignment horizontal="center" vertical="center"/>
      <protection locked="0"/>
    </xf>
    <xf numFmtId="0" fontId="17" fillId="3" borderId="2" xfId="0" applyFont="1" applyFill="1" applyBorder="1" applyAlignment="1" applyProtection="1">
      <alignment horizontal="center" vertical="center"/>
      <protection locked="0"/>
    </xf>
    <xf numFmtId="0" fontId="17" fillId="3" borderId="3" xfId="0" applyFont="1" applyFill="1" applyBorder="1" applyAlignment="1" applyProtection="1">
      <alignment horizontal="center" vertical="center"/>
      <protection locked="0"/>
    </xf>
    <xf numFmtId="0" fontId="17" fillId="3" borderId="4" xfId="0" applyFont="1" applyFill="1" applyBorder="1" applyAlignment="1" applyProtection="1">
      <alignment horizontal="center" vertical="center"/>
      <protection locked="0"/>
    </xf>
    <xf numFmtId="0" fontId="20" fillId="0" borderId="3" xfId="0" applyFont="1" applyFill="1" applyBorder="1" applyAlignment="1" applyProtection="1">
      <alignment horizontal="center" vertical="center"/>
      <protection locked="0"/>
    </xf>
    <xf numFmtId="0" fontId="17" fillId="7" borderId="23" xfId="0" applyFont="1" applyFill="1" applyBorder="1" applyAlignment="1">
      <alignment horizontal="center" vertical="center"/>
    </xf>
    <xf numFmtId="0" fontId="17" fillId="7" borderId="44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10" fontId="12" fillId="0" borderId="2" xfId="1" applyNumberFormat="1" applyFont="1" applyFill="1" applyBorder="1" applyAlignment="1">
      <alignment horizontal="center" vertical="center"/>
    </xf>
    <xf numFmtId="10" fontId="12" fillId="0" borderId="4" xfId="1" applyNumberFormat="1" applyFont="1" applyFill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10" fontId="12" fillId="0" borderId="3" xfId="1" applyNumberFormat="1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10" fillId="7" borderId="34" xfId="0" applyFont="1" applyFill="1" applyBorder="1" applyAlignment="1">
      <alignment horizontal="center" vertical="center"/>
    </xf>
    <xf numFmtId="0" fontId="10" fillId="7" borderId="33" xfId="0" applyFont="1" applyFill="1" applyBorder="1" applyAlignment="1">
      <alignment horizontal="center" vertical="center"/>
    </xf>
    <xf numFmtId="0" fontId="10" fillId="7" borderId="35" xfId="0" applyFont="1" applyFill="1" applyBorder="1" applyAlignment="1">
      <alignment horizontal="center" vertical="center"/>
    </xf>
    <xf numFmtId="0" fontId="8" fillId="7" borderId="36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34">
    <dxf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C0000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70C0"/>
        </top>
        <bottom style="thin">
          <color rgb="FF0070C0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C0000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70C0"/>
        </top>
        <bottom style="thin">
          <color rgb="FF0070C0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C0000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70C0"/>
        </top>
        <bottom style="thin">
          <color rgb="FF0070C0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C0000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70C0"/>
        </top>
        <bottom style="thin">
          <color rgb="FF0070C0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C0000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70C0"/>
        </top>
        <bottom style="thin">
          <color rgb="FF0070C0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theme="9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 style="thin">
          <color rgb="FF0070C0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C0000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70C0"/>
        </top>
        <bottom style="thin">
          <color rgb="FF0070C0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color rgb="FFC00000"/>
      </font>
      <fill>
        <patternFill>
          <bgColor theme="8" tint="-0.499984740745262"/>
        </patternFill>
      </fill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color theme="0"/>
      </font>
      <fill>
        <patternFill>
          <bgColor rgb="FF0070C0"/>
        </patternFill>
      </fill>
    </dxf>
    <dxf>
      <fill>
        <patternFill>
          <bgColor theme="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</dxfs>
  <tableStyles count="4" defaultTableStyle="TableStyleMedium2" defaultPivotStyle="PivotStyleLight16">
    <tableStyle name="Style de segment 1" pivot="0" table="0" count="3" xr9:uid="{B149A635-83CB-40A1-84EB-90610BF813FB}">
      <tableStyleElement type="wholeTable" dxfId="333"/>
      <tableStyleElement type="headerRow" dxfId="332"/>
    </tableStyle>
    <tableStyle name="Style de segment 2" pivot="0" table="0" count="2" xr9:uid="{FA971EDF-4887-43A8-87EB-8D0976D5E6CE}">
      <tableStyleElement type="wholeTable" dxfId="331"/>
      <tableStyleElement type="headerRow" dxfId="330"/>
    </tableStyle>
    <tableStyle name="Style de segment 3" pivot="0" table="0" count="0" xr9:uid="{FDF75F1F-1D77-4252-83F9-25BC1C16C36F}"/>
    <tableStyle name="Style de segment 4" pivot="0" table="0" count="3" xr9:uid="{CCF7FFB5-B2E4-41AB-890F-F70A790D8928}">
      <tableStyleElement type="wholeTable" dxfId="329"/>
      <tableStyleElement type="headerRow" dxfId="328"/>
    </tableStyle>
  </tableStyles>
  <colors>
    <mruColors>
      <color rgb="FFDBEB07"/>
    </mruColors>
  </colors>
  <extLst>
    <ext xmlns:x14="http://schemas.microsoft.com/office/spreadsheetml/2009/9/main" uri="{46F421CA-312F-682f-3DD2-61675219B42D}">
      <x14:dxfs count="2">
        <dxf>
          <font>
            <b/>
            <i val="0"/>
            <color theme="0"/>
          </font>
          <fill>
            <patternFill>
              <bgColor theme="8" tint="-0.499984740745262"/>
            </patternFill>
          </fill>
          <border>
            <left style="thin">
              <color rgb="FFC00000"/>
            </left>
            <right style="thin">
              <color rgb="FFC00000"/>
            </right>
            <top style="thin">
              <color rgb="FFC00000"/>
            </top>
            <bottom style="thin">
              <color rgb="FFC00000"/>
            </bottom>
          </border>
        </dxf>
        <dxf>
          <font>
            <b/>
            <i val="0"/>
            <color theme="0"/>
          </font>
          <fill>
            <patternFill>
              <bgColor rgb="FF0070C0"/>
            </patternFill>
          </fill>
          <border>
            <left style="thin">
              <color rgb="FFC00000"/>
            </left>
            <right style="thin">
              <color rgb="FFC00000"/>
            </right>
            <top style="thin">
              <color rgb="FFC00000"/>
            </top>
            <bottom style="thin">
              <color rgb="FFC00000"/>
            </bottom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selectedItemWithData" dxfId="1"/>
          </x14:slicerStyleElements>
        </x14:slicerStyle>
        <x14:slicerStyle name="Style de segment 2"/>
        <x14:slicerStyle name="Style de segment 3"/>
        <x14:slicerStyle name="Style de segment 4">
          <x14:slicerStyleElements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258327</xdr:colOff>
      <xdr:row>15</xdr:row>
      <xdr:rowOff>38098</xdr:rowOff>
    </xdr:from>
    <xdr:to>
      <xdr:col>15</xdr:col>
      <xdr:colOff>276791</xdr:colOff>
      <xdr:row>24</xdr:row>
      <xdr:rowOff>95250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A60E399D-F767-4221-80E6-E65BE3A24C38}"/>
            </a:ext>
          </a:extLst>
        </xdr:cNvPr>
        <xdr:cNvGrpSpPr/>
      </xdr:nvGrpSpPr>
      <xdr:grpSpPr>
        <a:xfrm>
          <a:off x="782202" y="2895598"/>
          <a:ext cx="10295939" cy="1771652"/>
          <a:chOff x="902949" y="3694159"/>
          <a:chExt cx="10274676" cy="1788970"/>
        </a:xfrm>
      </xdr:grpSpPr>
      <xdr:sp macro="" textlink="">
        <xdr:nvSpPr>
          <xdr:cNvPr id="2" name="Image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902949" y="3694161"/>
            <a:ext cx="2110702" cy="1788968"/>
          </a:xfrm>
          <a:prstGeom prst="roundRect">
            <a:avLst/>
          </a:prstGeom>
          <a:solidFill>
            <a:srgbClr val="7030A0"/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Accès à mon portail d'objectifs</a:t>
            </a:r>
          </a:p>
        </xdr:txBody>
      </xdr:sp>
      <xdr:sp macro="" textlink="">
        <xdr:nvSpPr>
          <xdr:cNvPr id="8" name="Image2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/>
        </xdr:nvSpPr>
        <xdr:spPr>
          <a:xfrm>
            <a:off x="3641139" y="3694160"/>
            <a:ext cx="2107427" cy="1788518"/>
          </a:xfrm>
          <a:prstGeom prst="roundRect">
            <a:avLst/>
          </a:prstGeom>
          <a:solidFill>
            <a:srgbClr val="002060"/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Mode coordos</a:t>
            </a:r>
          </a:p>
        </xdr:txBody>
      </xdr:sp>
      <xdr:sp macro="" textlink="">
        <xdr:nvSpPr>
          <xdr:cNvPr id="9" name="Image3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6329017" y="3694159"/>
            <a:ext cx="2107427" cy="1788518"/>
          </a:xfrm>
          <a:prstGeom prst="roundRect">
            <a:avLst/>
          </a:prstGeom>
          <a:solidFill>
            <a:schemeClr val="accent5"/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Sauvegarder et quitter</a:t>
            </a:r>
          </a:p>
        </xdr:txBody>
      </xdr:sp>
      <xdr:sp macro="" textlink="">
        <xdr:nvSpPr>
          <xdr:cNvPr id="10" name="Image4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9066445" y="3694159"/>
            <a:ext cx="2111180" cy="1788518"/>
          </a:xfrm>
          <a:prstGeom prst="roundRect">
            <a:avLst/>
          </a:prstGeom>
          <a:solidFill>
            <a:schemeClr val="accent4">
              <a:lumMod val="75000"/>
            </a:schemeClr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Quitter sans sauvegarder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381000</xdr:colOff>
      <xdr:row>1</xdr:row>
      <xdr:rowOff>95250</xdr:rowOff>
    </xdr:from>
    <xdr:to>
      <xdr:col>21</xdr:col>
      <xdr:colOff>914400</xdr:colOff>
      <xdr:row>1</xdr:row>
      <xdr:rowOff>504825</xdr:rowOff>
    </xdr:to>
    <xdr:pic macro="[0]!courriel">
      <xdr:nvPicPr>
        <xdr:cNvPr id="7" name="Enveloppe" descr="Enveloppe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668000" y="466725"/>
          <a:ext cx="533400" cy="409575"/>
        </a:xfrm>
        <a:prstGeom prst="rect">
          <a:avLst/>
        </a:prstGeom>
      </xdr:spPr>
    </xdr:pic>
    <xdr:clientData fPrintsWithSheet="0"/>
  </xdr:twoCellAnchor>
  <xdr:twoCellAnchor>
    <xdr:from>
      <xdr:col>2</xdr:col>
      <xdr:colOff>1</xdr:colOff>
      <xdr:row>333</xdr:row>
      <xdr:rowOff>66675</xdr:rowOff>
    </xdr:from>
    <xdr:to>
      <xdr:col>21</xdr:col>
      <xdr:colOff>1</xdr:colOff>
      <xdr:row>340</xdr:row>
      <xdr:rowOff>19050</xdr:rowOff>
    </xdr:to>
    <xdr:sp macro="" textlink="" fLocksText="0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>
          <a:spLocks noChangeAspect="1"/>
        </xdr:cNvSpPr>
      </xdr:nvSpPr>
      <xdr:spPr>
        <a:xfrm>
          <a:off x="1771651" y="4991100"/>
          <a:ext cx="8515350" cy="1285875"/>
        </a:xfrm>
        <a:prstGeom prst="rect">
          <a:avLst/>
        </a:prstGeom>
        <a:solidFill>
          <a:schemeClr val="lt1"/>
        </a:solidFill>
        <a:ln w="12700" cmpd="sng">
          <a:solidFill>
            <a:srgbClr val="C00000"/>
          </a:solidFill>
        </a:ln>
        <a:effectLst>
          <a:outerShdw blurRad="76200" dist="12700" dir="4200000" sy="-23000" kx="-800400" algn="bl" rotWithShape="0">
            <a:schemeClr val="tx1">
              <a:alpha val="20000"/>
            </a:scheme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</xdr:txBody>
    </xdr:sp>
    <xdr:clientData fLocksWithSheet="0"/>
  </xdr:twoCellAnchor>
  <xdr:twoCellAnchor>
    <xdr:from>
      <xdr:col>1</xdr:col>
      <xdr:colOff>0</xdr:colOff>
      <xdr:row>333</xdr:row>
      <xdr:rowOff>66675</xdr:rowOff>
    </xdr:from>
    <xdr:to>
      <xdr:col>1</xdr:col>
      <xdr:colOff>1504950</xdr:colOff>
      <xdr:row>340</xdr:row>
      <xdr:rowOff>19050</xdr:rowOff>
    </xdr:to>
    <xdr:sp macro="" textlink="">
      <xdr:nvSpPr>
        <xdr:cNvPr id="12" name="Rectangle : carré corné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285750" y="5915025"/>
          <a:ext cx="1504950" cy="1285875"/>
        </a:xfrm>
        <a:prstGeom prst="foldedCorner">
          <a:avLst/>
        </a:prstGeom>
        <a:solidFill>
          <a:schemeClr val="accent5">
            <a:lumMod val="50000"/>
          </a:schemeClr>
        </a:solidFill>
        <a:ln>
          <a:solidFill>
            <a:srgbClr val="C0000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2800" b="1" cap="none" spc="0">
              <a:ln w="13462">
                <a:solidFill>
                  <a:schemeClr val="bg1"/>
                </a:solidFill>
                <a:prstDash val="solid"/>
              </a:ln>
              <a:solidFill>
                <a:srgbClr val="C00000"/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Bloc Notes</a:t>
          </a:r>
        </a:p>
      </xdr:txBody>
    </xdr:sp>
    <xdr:clientData/>
  </xdr:twoCellAnchor>
  <xdr:twoCellAnchor>
    <xdr:from>
      <xdr:col>1</xdr:col>
      <xdr:colOff>0</xdr:colOff>
      <xdr:row>3</xdr:row>
      <xdr:rowOff>9524</xdr:rowOff>
    </xdr:from>
    <xdr:to>
      <xdr:col>1</xdr:col>
      <xdr:colOff>1504950</xdr:colOff>
      <xdr:row>333</xdr:row>
      <xdr:rowOff>9524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Semaine débutant le:">
              <a:extLst>
                <a:ext uri="{FF2B5EF4-FFF2-40B4-BE49-F238E27FC236}">
                  <a16:creationId xmlns:a16="http://schemas.microsoft.com/office/drawing/2014/main" id="{00000000-0008-0000-0100-00000D000000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débutant le: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0025" y="1114424"/>
              <a:ext cx="1504950" cy="3819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1</xdr:col>
      <xdr:colOff>495300</xdr:colOff>
      <xdr:row>338</xdr:row>
      <xdr:rowOff>28575</xdr:rowOff>
    </xdr:from>
    <xdr:to>
      <xdr:col>1</xdr:col>
      <xdr:colOff>1000125</xdr:colOff>
      <xdr:row>339</xdr:row>
      <xdr:rowOff>142875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95325" y="5905500"/>
          <a:ext cx="504825" cy="304800"/>
        </a:xfrm>
        <a:prstGeom prst="rightArrow">
          <a:avLst/>
        </a:prstGeom>
        <a:solidFill>
          <a:sysClr val="window" lastClr="FFFFFF"/>
        </a:solidFill>
        <a:ln>
          <a:solidFill>
            <a:srgbClr val="C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825901</xdr:colOff>
      <xdr:row>13</xdr:row>
      <xdr:rowOff>18772</xdr:rowOff>
    </xdr:from>
    <xdr:to>
      <xdr:col>8</xdr:col>
      <xdr:colOff>74166</xdr:colOff>
      <xdr:row>17</xdr:row>
      <xdr:rowOff>47347</xdr:rowOff>
    </xdr:to>
    <xdr:sp macro="[0]!MAJ" textlink="">
      <xdr:nvSpPr>
        <xdr:cNvPr id="3" name="Image1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3711144" y="2950253"/>
          <a:ext cx="4158726" cy="509448"/>
        </a:xfrm>
        <a:prstGeom prst="roundRect">
          <a:avLst/>
        </a:prstGeom>
        <a:solidFill>
          <a:schemeClr val="accent5">
            <a:lumMod val="50000"/>
          </a:schemeClr>
        </a:solidFill>
        <a:ln w="19050">
          <a:solidFill>
            <a:srgbClr val="C0000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/>
            <a:t>Mettre à jour les données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9</xdr:row>
      <xdr:rowOff>28575</xdr:rowOff>
    </xdr:from>
    <xdr:to>
      <xdr:col>13</xdr:col>
      <xdr:colOff>694736</xdr:colOff>
      <xdr:row>30</xdr:row>
      <xdr:rowOff>171000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C8AA32D9-C3C0-4FB9-904E-8CAB33585CF4}"/>
            </a:ext>
          </a:extLst>
        </xdr:cNvPr>
        <xdr:cNvGrpSpPr/>
      </xdr:nvGrpSpPr>
      <xdr:grpSpPr>
        <a:xfrm>
          <a:off x="1619250" y="1743075"/>
          <a:ext cx="8981486" cy="4142925"/>
          <a:chOff x="1590675" y="2466975"/>
          <a:chExt cx="8981486" cy="4142925"/>
        </a:xfrm>
      </xdr:grpSpPr>
      <xdr:sp macro="[0]!Portail" textlink="">
        <xdr:nvSpPr>
          <xdr:cNvPr id="3" name="Image1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/>
        </xdr:nvSpPr>
        <xdr:spPr>
          <a:xfrm>
            <a:off x="5076823" y="2466977"/>
            <a:ext cx="2113200" cy="1771200"/>
          </a:xfrm>
          <a:prstGeom prst="roundRect">
            <a:avLst/>
          </a:prstGeom>
          <a:solidFill>
            <a:schemeClr val="accent6">
              <a:lumMod val="75000"/>
            </a:schemeClr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Ajouter un portail d'objectifs</a:t>
            </a:r>
          </a:p>
        </xdr:txBody>
      </xdr:sp>
      <xdr:sp macro="" textlink="">
        <xdr:nvSpPr>
          <xdr:cNvPr id="5" name="Image3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SpPr/>
        </xdr:nvSpPr>
        <xdr:spPr>
          <a:xfrm>
            <a:off x="6172960" y="4838700"/>
            <a:ext cx="2113200" cy="1771200"/>
          </a:xfrm>
          <a:prstGeom prst="roundRect">
            <a:avLst/>
          </a:prstGeom>
          <a:solidFill>
            <a:schemeClr val="accent5"/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Sauvegarder et quitter</a:t>
            </a:r>
          </a:p>
        </xdr:txBody>
      </xdr:sp>
      <xdr:sp macro="" textlink="">
        <xdr:nvSpPr>
          <xdr:cNvPr id="6" name="Image4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SpPr/>
        </xdr:nvSpPr>
        <xdr:spPr>
          <a:xfrm>
            <a:off x="8458961" y="4838700"/>
            <a:ext cx="2113200" cy="1771200"/>
          </a:xfrm>
          <a:prstGeom prst="roundRect">
            <a:avLst/>
          </a:prstGeom>
          <a:solidFill>
            <a:schemeClr val="accent4">
              <a:lumMod val="75000"/>
            </a:schemeClr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Quitter sans sauvegarder</a:t>
            </a:r>
          </a:p>
        </xdr:txBody>
      </xdr:sp>
      <xdr:sp macro="" textlink="">
        <xdr:nvSpPr>
          <xdr:cNvPr id="10" name="Image4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SpPr/>
        </xdr:nvSpPr>
        <xdr:spPr>
          <a:xfrm>
            <a:off x="7372350" y="2466975"/>
            <a:ext cx="2113200" cy="1771200"/>
          </a:xfrm>
          <a:prstGeom prst="roundRect">
            <a:avLst/>
          </a:prstGeom>
          <a:solidFill>
            <a:schemeClr val="bg2">
              <a:lumMod val="50000"/>
            </a:schemeClr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Génération de la liste des mots de passe</a:t>
            </a:r>
          </a:p>
        </xdr:txBody>
      </xdr:sp>
      <xdr:sp macro="" textlink="">
        <xdr:nvSpPr>
          <xdr:cNvPr id="13" name="Image4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SpPr/>
        </xdr:nvSpPr>
        <xdr:spPr>
          <a:xfrm>
            <a:off x="3886200" y="4838700"/>
            <a:ext cx="2113200" cy="1771200"/>
          </a:xfrm>
          <a:prstGeom prst="roundRect">
            <a:avLst/>
          </a:prstGeom>
          <a:solidFill>
            <a:srgbClr val="7030A0"/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Avancer d'une année</a:t>
            </a:r>
          </a:p>
        </xdr:txBody>
      </xdr:sp>
      <xdr:sp macro="" textlink="">
        <xdr:nvSpPr>
          <xdr:cNvPr id="8" name="Image1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SpPr/>
        </xdr:nvSpPr>
        <xdr:spPr>
          <a:xfrm>
            <a:off x="2771775" y="2466975"/>
            <a:ext cx="2113200" cy="1771200"/>
          </a:xfrm>
          <a:prstGeom prst="roundRect">
            <a:avLst/>
          </a:prstGeom>
          <a:solidFill>
            <a:schemeClr val="accent2"/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Accueil</a:t>
            </a:r>
          </a:p>
        </xdr:txBody>
      </xdr:sp>
      <xdr:sp macro="" textlink="">
        <xdr:nvSpPr>
          <xdr:cNvPr id="9" name="Image1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/>
        </xdr:nvSpPr>
        <xdr:spPr>
          <a:xfrm>
            <a:off x="1590675" y="4829175"/>
            <a:ext cx="2113200" cy="1771200"/>
          </a:xfrm>
          <a:prstGeom prst="roundRect">
            <a:avLst/>
          </a:prstGeom>
          <a:solidFill>
            <a:schemeClr val="tx1">
              <a:lumMod val="85000"/>
              <a:lumOff val="15000"/>
            </a:schemeClr>
          </a:solidFill>
          <a:ln w="38100">
            <a:solidFill>
              <a:schemeClr val="bg1"/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CA" sz="2400"/>
              <a:t>Sommaire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381000</xdr:colOff>
      <xdr:row>1</xdr:row>
      <xdr:rowOff>95250</xdr:rowOff>
    </xdr:from>
    <xdr:to>
      <xdr:col>21</xdr:col>
      <xdr:colOff>914400</xdr:colOff>
      <xdr:row>1</xdr:row>
      <xdr:rowOff>504825</xdr:rowOff>
    </xdr:to>
    <xdr:pic macro="[0]!courriel">
      <xdr:nvPicPr>
        <xdr:cNvPr id="2" name="Enveloppe" descr="Enveloppe">
          <a:extLst>
            <a:ext uri="{FF2B5EF4-FFF2-40B4-BE49-F238E27FC236}">
              <a16:creationId xmlns:a16="http://schemas.microsoft.com/office/drawing/2014/main" id="{98D5175C-4653-478A-A85C-D60D162086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058525" y="133350"/>
          <a:ext cx="533400" cy="409575"/>
        </a:xfrm>
        <a:prstGeom prst="rect">
          <a:avLst/>
        </a:prstGeom>
      </xdr:spPr>
    </xdr:pic>
    <xdr:clientData fPrintsWithSheet="0"/>
  </xdr:twoCellAnchor>
  <xdr:twoCellAnchor>
    <xdr:from>
      <xdr:col>2</xdr:col>
      <xdr:colOff>1</xdr:colOff>
      <xdr:row>333</xdr:row>
      <xdr:rowOff>66675</xdr:rowOff>
    </xdr:from>
    <xdr:to>
      <xdr:col>21</xdr:col>
      <xdr:colOff>1</xdr:colOff>
      <xdr:row>340</xdr:row>
      <xdr:rowOff>19050</xdr:rowOff>
    </xdr:to>
    <xdr:sp macro="" textlink="" fLocksText="0">
      <xdr:nvSpPr>
        <xdr:cNvPr id="3" name="ZoneTexte 2">
          <a:extLst>
            <a:ext uri="{FF2B5EF4-FFF2-40B4-BE49-F238E27FC236}">
              <a16:creationId xmlns:a16="http://schemas.microsoft.com/office/drawing/2014/main" id="{E5A6E2A3-3A2F-4672-A304-AAB21D71ECE5}"/>
            </a:ext>
          </a:extLst>
        </xdr:cNvPr>
        <xdr:cNvSpPr txBox="1">
          <a:spLocks noChangeAspect="1"/>
        </xdr:cNvSpPr>
      </xdr:nvSpPr>
      <xdr:spPr>
        <a:xfrm>
          <a:off x="1752600" y="6276975"/>
          <a:ext cx="8924926" cy="1285875"/>
        </a:xfrm>
        <a:prstGeom prst="rect">
          <a:avLst/>
        </a:prstGeom>
        <a:solidFill>
          <a:schemeClr val="lt1"/>
        </a:solidFill>
        <a:ln w="12700" cmpd="sng">
          <a:solidFill>
            <a:srgbClr val="C00000"/>
          </a:solidFill>
        </a:ln>
        <a:effectLst>
          <a:outerShdw blurRad="76200" dist="12700" dir="4200000" sy="-23000" kx="-800400" algn="bl" rotWithShape="0">
            <a:schemeClr val="tx1">
              <a:alpha val="20000"/>
            </a:scheme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</xdr:txBody>
    </xdr:sp>
    <xdr:clientData fLocksWithSheet="0"/>
  </xdr:twoCellAnchor>
  <xdr:twoCellAnchor>
    <xdr:from>
      <xdr:col>1</xdr:col>
      <xdr:colOff>0</xdr:colOff>
      <xdr:row>333</xdr:row>
      <xdr:rowOff>66675</xdr:rowOff>
    </xdr:from>
    <xdr:to>
      <xdr:col>1</xdr:col>
      <xdr:colOff>1504950</xdr:colOff>
      <xdr:row>340</xdr:row>
      <xdr:rowOff>19050</xdr:rowOff>
    </xdr:to>
    <xdr:sp macro="" textlink="">
      <xdr:nvSpPr>
        <xdr:cNvPr id="4" name="Rectangle : carré corné 3">
          <a:extLst>
            <a:ext uri="{FF2B5EF4-FFF2-40B4-BE49-F238E27FC236}">
              <a16:creationId xmlns:a16="http://schemas.microsoft.com/office/drawing/2014/main" id="{A8B46CD4-57CE-4CE2-922F-F54AC2D4541E}"/>
            </a:ext>
          </a:extLst>
        </xdr:cNvPr>
        <xdr:cNvSpPr/>
      </xdr:nvSpPr>
      <xdr:spPr>
        <a:xfrm>
          <a:off x="180975" y="6276975"/>
          <a:ext cx="1504950" cy="1285875"/>
        </a:xfrm>
        <a:prstGeom prst="foldedCorner">
          <a:avLst/>
        </a:prstGeom>
        <a:solidFill>
          <a:schemeClr val="accent5">
            <a:lumMod val="50000"/>
          </a:schemeClr>
        </a:solidFill>
        <a:ln>
          <a:solidFill>
            <a:srgbClr val="C0000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2800" b="1" cap="none" spc="0">
              <a:ln w="13462">
                <a:solidFill>
                  <a:schemeClr val="bg1"/>
                </a:solidFill>
                <a:prstDash val="solid"/>
              </a:ln>
              <a:solidFill>
                <a:srgbClr val="C00000"/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Bloc Notes</a:t>
          </a:r>
        </a:p>
      </xdr:txBody>
    </xdr:sp>
    <xdr:clientData/>
  </xdr:twoCellAnchor>
  <xdr:twoCellAnchor>
    <xdr:from>
      <xdr:col>1</xdr:col>
      <xdr:colOff>0</xdr:colOff>
      <xdr:row>3</xdr:row>
      <xdr:rowOff>9524</xdr:rowOff>
    </xdr:from>
    <xdr:to>
      <xdr:col>1</xdr:col>
      <xdr:colOff>1504950</xdr:colOff>
      <xdr:row>333</xdr:row>
      <xdr:rowOff>9524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Semaine débutant le: 1">
              <a:extLst>
                <a:ext uri="{FF2B5EF4-FFF2-40B4-BE49-F238E27FC236}">
                  <a16:creationId xmlns:a16="http://schemas.microsoft.com/office/drawing/2014/main" id="{FE732C8E-6C4E-48F6-8D19-592E3ED91B2A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débutant le: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676274"/>
              <a:ext cx="1504950" cy="554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1</xdr:col>
      <xdr:colOff>495300</xdr:colOff>
      <xdr:row>338</xdr:row>
      <xdr:rowOff>28575</xdr:rowOff>
    </xdr:from>
    <xdr:to>
      <xdr:col>1</xdr:col>
      <xdr:colOff>1000125</xdr:colOff>
      <xdr:row>339</xdr:row>
      <xdr:rowOff>142875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E2AB0E3A-30FC-4D8A-B520-9A90545448E1}"/>
            </a:ext>
          </a:extLst>
        </xdr:cNvPr>
        <xdr:cNvSpPr/>
      </xdr:nvSpPr>
      <xdr:spPr>
        <a:xfrm>
          <a:off x="676275" y="7191375"/>
          <a:ext cx="504825" cy="304800"/>
        </a:xfrm>
        <a:prstGeom prst="rightArrow">
          <a:avLst/>
        </a:prstGeom>
        <a:solidFill>
          <a:sysClr val="window" lastClr="FFFFFF"/>
        </a:solidFill>
        <a:ln>
          <a:solidFill>
            <a:srgbClr val="C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381000</xdr:colOff>
      <xdr:row>1</xdr:row>
      <xdr:rowOff>95250</xdr:rowOff>
    </xdr:from>
    <xdr:to>
      <xdr:col>21</xdr:col>
      <xdr:colOff>914400</xdr:colOff>
      <xdr:row>1</xdr:row>
      <xdr:rowOff>504825</xdr:rowOff>
    </xdr:to>
    <xdr:pic macro="[0]!courriel">
      <xdr:nvPicPr>
        <xdr:cNvPr id="2" name="Enveloppe" descr="Enveloppe">
          <a:extLst>
            <a:ext uri="{FF2B5EF4-FFF2-40B4-BE49-F238E27FC236}">
              <a16:creationId xmlns:a16="http://schemas.microsoft.com/office/drawing/2014/main" id="{61832F5E-7028-454D-9AD5-85483015AE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058525" y="133350"/>
          <a:ext cx="533400" cy="409575"/>
        </a:xfrm>
        <a:prstGeom prst="rect">
          <a:avLst/>
        </a:prstGeom>
      </xdr:spPr>
    </xdr:pic>
    <xdr:clientData fPrintsWithSheet="0"/>
  </xdr:twoCellAnchor>
  <xdr:twoCellAnchor>
    <xdr:from>
      <xdr:col>2</xdr:col>
      <xdr:colOff>1</xdr:colOff>
      <xdr:row>333</xdr:row>
      <xdr:rowOff>66675</xdr:rowOff>
    </xdr:from>
    <xdr:to>
      <xdr:col>21</xdr:col>
      <xdr:colOff>1</xdr:colOff>
      <xdr:row>340</xdr:row>
      <xdr:rowOff>19050</xdr:rowOff>
    </xdr:to>
    <xdr:sp macro="" textlink="" fLocksText="0">
      <xdr:nvSpPr>
        <xdr:cNvPr id="3" name="ZoneTexte 2">
          <a:extLst>
            <a:ext uri="{FF2B5EF4-FFF2-40B4-BE49-F238E27FC236}">
              <a16:creationId xmlns:a16="http://schemas.microsoft.com/office/drawing/2014/main" id="{8A5C0184-7596-496A-A1DB-8633D9F760C9}"/>
            </a:ext>
          </a:extLst>
        </xdr:cNvPr>
        <xdr:cNvSpPr txBox="1">
          <a:spLocks noChangeAspect="1"/>
        </xdr:cNvSpPr>
      </xdr:nvSpPr>
      <xdr:spPr>
        <a:xfrm>
          <a:off x="1752600" y="6276975"/>
          <a:ext cx="8924926" cy="1285875"/>
        </a:xfrm>
        <a:prstGeom prst="rect">
          <a:avLst/>
        </a:prstGeom>
        <a:solidFill>
          <a:schemeClr val="lt1"/>
        </a:solidFill>
        <a:ln w="12700" cmpd="sng">
          <a:solidFill>
            <a:srgbClr val="C00000"/>
          </a:solidFill>
        </a:ln>
        <a:effectLst>
          <a:outerShdw blurRad="76200" dist="12700" dir="4200000" sy="-23000" kx="-800400" algn="bl" rotWithShape="0">
            <a:schemeClr val="tx1">
              <a:alpha val="20000"/>
            </a:scheme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</xdr:txBody>
    </xdr:sp>
    <xdr:clientData fLocksWithSheet="0"/>
  </xdr:twoCellAnchor>
  <xdr:twoCellAnchor>
    <xdr:from>
      <xdr:col>1</xdr:col>
      <xdr:colOff>0</xdr:colOff>
      <xdr:row>333</xdr:row>
      <xdr:rowOff>66675</xdr:rowOff>
    </xdr:from>
    <xdr:to>
      <xdr:col>1</xdr:col>
      <xdr:colOff>1504950</xdr:colOff>
      <xdr:row>340</xdr:row>
      <xdr:rowOff>19050</xdr:rowOff>
    </xdr:to>
    <xdr:sp macro="" textlink="">
      <xdr:nvSpPr>
        <xdr:cNvPr id="4" name="Rectangle : carré corné 3">
          <a:extLst>
            <a:ext uri="{FF2B5EF4-FFF2-40B4-BE49-F238E27FC236}">
              <a16:creationId xmlns:a16="http://schemas.microsoft.com/office/drawing/2014/main" id="{77377E3E-394F-4E02-87D0-91D5BDDDA17C}"/>
            </a:ext>
          </a:extLst>
        </xdr:cNvPr>
        <xdr:cNvSpPr/>
      </xdr:nvSpPr>
      <xdr:spPr>
        <a:xfrm>
          <a:off x="180975" y="6276975"/>
          <a:ext cx="1504950" cy="1285875"/>
        </a:xfrm>
        <a:prstGeom prst="foldedCorner">
          <a:avLst/>
        </a:prstGeom>
        <a:solidFill>
          <a:schemeClr val="accent5">
            <a:lumMod val="50000"/>
          </a:schemeClr>
        </a:solidFill>
        <a:ln>
          <a:solidFill>
            <a:srgbClr val="C0000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2800" b="1" cap="none" spc="0">
              <a:ln w="13462">
                <a:solidFill>
                  <a:schemeClr val="bg1"/>
                </a:solidFill>
                <a:prstDash val="solid"/>
              </a:ln>
              <a:solidFill>
                <a:srgbClr val="C00000"/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Bloc Notes</a:t>
          </a:r>
        </a:p>
      </xdr:txBody>
    </xdr:sp>
    <xdr:clientData/>
  </xdr:twoCellAnchor>
  <xdr:twoCellAnchor>
    <xdr:from>
      <xdr:col>1</xdr:col>
      <xdr:colOff>0</xdr:colOff>
      <xdr:row>3</xdr:row>
      <xdr:rowOff>9524</xdr:rowOff>
    </xdr:from>
    <xdr:to>
      <xdr:col>1</xdr:col>
      <xdr:colOff>1504950</xdr:colOff>
      <xdr:row>333</xdr:row>
      <xdr:rowOff>9524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Semaine débutant le: 2">
              <a:extLst>
                <a:ext uri="{FF2B5EF4-FFF2-40B4-BE49-F238E27FC236}">
                  <a16:creationId xmlns:a16="http://schemas.microsoft.com/office/drawing/2014/main" id="{25EC895E-1E40-461C-B2EC-28C1D8173BA4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débutant le: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676274"/>
              <a:ext cx="1504950" cy="554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1</xdr:col>
      <xdr:colOff>495300</xdr:colOff>
      <xdr:row>338</xdr:row>
      <xdr:rowOff>28575</xdr:rowOff>
    </xdr:from>
    <xdr:to>
      <xdr:col>1</xdr:col>
      <xdr:colOff>1000125</xdr:colOff>
      <xdr:row>339</xdr:row>
      <xdr:rowOff>142875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4EB9F549-6D79-4C7F-918D-97C01B1712E5}"/>
            </a:ext>
          </a:extLst>
        </xdr:cNvPr>
        <xdr:cNvSpPr/>
      </xdr:nvSpPr>
      <xdr:spPr>
        <a:xfrm>
          <a:off x="676275" y="7191375"/>
          <a:ext cx="504825" cy="304800"/>
        </a:xfrm>
        <a:prstGeom prst="rightArrow">
          <a:avLst/>
        </a:prstGeom>
        <a:solidFill>
          <a:sysClr val="window" lastClr="FFFFFF"/>
        </a:solidFill>
        <a:ln>
          <a:solidFill>
            <a:srgbClr val="C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381000</xdr:colOff>
      <xdr:row>1</xdr:row>
      <xdr:rowOff>95250</xdr:rowOff>
    </xdr:from>
    <xdr:to>
      <xdr:col>21</xdr:col>
      <xdr:colOff>914400</xdr:colOff>
      <xdr:row>1</xdr:row>
      <xdr:rowOff>504825</xdr:rowOff>
    </xdr:to>
    <xdr:pic macro="[0]!courriel">
      <xdr:nvPicPr>
        <xdr:cNvPr id="2" name="Enveloppe" descr="Enveloppe">
          <a:extLst>
            <a:ext uri="{FF2B5EF4-FFF2-40B4-BE49-F238E27FC236}">
              <a16:creationId xmlns:a16="http://schemas.microsoft.com/office/drawing/2014/main" id="{B6663D86-291D-4CCB-B990-8FEF4EAA85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058525" y="133350"/>
          <a:ext cx="533400" cy="409575"/>
        </a:xfrm>
        <a:prstGeom prst="rect">
          <a:avLst/>
        </a:prstGeom>
      </xdr:spPr>
    </xdr:pic>
    <xdr:clientData fPrintsWithSheet="0"/>
  </xdr:twoCellAnchor>
  <xdr:twoCellAnchor>
    <xdr:from>
      <xdr:col>2</xdr:col>
      <xdr:colOff>1</xdr:colOff>
      <xdr:row>333</xdr:row>
      <xdr:rowOff>66675</xdr:rowOff>
    </xdr:from>
    <xdr:to>
      <xdr:col>21</xdr:col>
      <xdr:colOff>1</xdr:colOff>
      <xdr:row>340</xdr:row>
      <xdr:rowOff>19050</xdr:rowOff>
    </xdr:to>
    <xdr:sp macro="" textlink="" fLocksText="0">
      <xdr:nvSpPr>
        <xdr:cNvPr id="3" name="ZoneTexte 2">
          <a:extLst>
            <a:ext uri="{FF2B5EF4-FFF2-40B4-BE49-F238E27FC236}">
              <a16:creationId xmlns:a16="http://schemas.microsoft.com/office/drawing/2014/main" id="{C8D3470A-3F0E-4F2B-B9ED-BD612CA8C422}"/>
            </a:ext>
          </a:extLst>
        </xdr:cNvPr>
        <xdr:cNvSpPr txBox="1">
          <a:spLocks noChangeAspect="1"/>
        </xdr:cNvSpPr>
      </xdr:nvSpPr>
      <xdr:spPr>
        <a:xfrm>
          <a:off x="1752600" y="6276975"/>
          <a:ext cx="8924926" cy="1285875"/>
        </a:xfrm>
        <a:prstGeom prst="rect">
          <a:avLst/>
        </a:prstGeom>
        <a:solidFill>
          <a:schemeClr val="lt1"/>
        </a:solidFill>
        <a:ln w="12700" cmpd="sng">
          <a:solidFill>
            <a:srgbClr val="C00000"/>
          </a:solidFill>
        </a:ln>
        <a:effectLst>
          <a:outerShdw blurRad="76200" dist="12700" dir="4200000" sy="-23000" kx="-800400" algn="bl" rotWithShape="0">
            <a:schemeClr val="tx1">
              <a:alpha val="20000"/>
            </a:scheme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</xdr:txBody>
    </xdr:sp>
    <xdr:clientData fLocksWithSheet="0"/>
  </xdr:twoCellAnchor>
  <xdr:twoCellAnchor>
    <xdr:from>
      <xdr:col>1</xdr:col>
      <xdr:colOff>0</xdr:colOff>
      <xdr:row>333</xdr:row>
      <xdr:rowOff>66675</xdr:rowOff>
    </xdr:from>
    <xdr:to>
      <xdr:col>1</xdr:col>
      <xdr:colOff>1504950</xdr:colOff>
      <xdr:row>340</xdr:row>
      <xdr:rowOff>19050</xdr:rowOff>
    </xdr:to>
    <xdr:sp macro="" textlink="">
      <xdr:nvSpPr>
        <xdr:cNvPr id="4" name="Rectangle : carré corné 3">
          <a:extLst>
            <a:ext uri="{FF2B5EF4-FFF2-40B4-BE49-F238E27FC236}">
              <a16:creationId xmlns:a16="http://schemas.microsoft.com/office/drawing/2014/main" id="{B857EB5D-4BF0-4500-BC2F-497456202411}"/>
            </a:ext>
          </a:extLst>
        </xdr:cNvPr>
        <xdr:cNvSpPr/>
      </xdr:nvSpPr>
      <xdr:spPr>
        <a:xfrm>
          <a:off x="180975" y="6276975"/>
          <a:ext cx="1504950" cy="1285875"/>
        </a:xfrm>
        <a:prstGeom prst="foldedCorner">
          <a:avLst/>
        </a:prstGeom>
        <a:solidFill>
          <a:schemeClr val="accent5">
            <a:lumMod val="50000"/>
          </a:schemeClr>
        </a:solidFill>
        <a:ln>
          <a:solidFill>
            <a:srgbClr val="C0000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2800" b="1" cap="none" spc="0">
              <a:ln w="13462">
                <a:solidFill>
                  <a:schemeClr val="bg1"/>
                </a:solidFill>
                <a:prstDash val="solid"/>
              </a:ln>
              <a:solidFill>
                <a:srgbClr val="C00000"/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Bloc Notes</a:t>
          </a:r>
        </a:p>
      </xdr:txBody>
    </xdr:sp>
    <xdr:clientData/>
  </xdr:twoCellAnchor>
  <xdr:twoCellAnchor>
    <xdr:from>
      <xdr:col>1</xdr:col>
      <xdr:colOff>0</xdr:colOff>
      <xdr:row>3</xdr:row>
      <xdr:rowOff>9524</xdr:rowOff>
    </xdr:from>
    <xdr:to>
      <xdr:col>1</xdr:col>
      <xdr:colOff>1504950</xdr:colOff>
      <xdr:row>333</xdr:row>
      <xdr:rowOff>9524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Semaine débutant le: 3">
              <a:extLst>
                <a:ext uri="{FF2B5EF4-FFF2-40B4-BE49-F238E27FC236}">
                  <a16:creationId xmlns:a16="http://schemas.microsoft.com/office/drawing/2014/main" id="{1ED138C9-3E00-4CCC-9F8B-7CCA0BDDE6AA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débutant le: 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676274"/>
              <a:ext cx="1504950" cy="554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1</xdr:col>
      <xdr:colOff>495300</xdr:colOff>
      <xdr:row>338</xdr:row>
      <xdr:rowOff>28575</xdr:rowOff>
    </xdr:from>
    <xdr:to>
      <xdr:col>1</xdr:col>
      <xdr:colOff>1000125</xdr:colOff>
      <xdr:row>339</xdr:row>
      <xdr:rowOff>142875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776CB343-BC61-494E-A87A-7F35EB996D7E}"/>
            </a:ext>
          </a:extLst>
        </xdr:cNvPr>
        <xdr:cNvSpPr/>
      </xdr:nvSpPr>
      <xdr:spPr>
        <a:xfrm>
          <a:off x="676275" y="7191375"/>
          <a:ext cx="504825" cy="304800"/>
        </a:xfrm>
        <a:prstGeom prst="rightArrow">
          <a:avLst/>
        </a:prstGeom>
        <a:solidFill>
          <a:sysClr val="window" lastClr="FFFFFF"/>
        </a:solidFill>
        <a:ln>
          <a:solidFill>
            <a:srgbClr val="C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381000</xdr:colOff>
      <xdr:row>1</xdr:row>
      <xdr:rowOff>95250</xdr:rowOff>
    </xdr:from>
    <xdr:to>
      <xdr:col>21</xdr:col>
      <xdr:colOff>914400</xdr:colOff>
      <xdr:row>1</xdr:row>
      <xdr:rowOff>504825</xdr:rowOff>
    </xdr:to>
    <xdr:pic macro="[0]!courriel">
      <xdr:nvPicPr>
        <xdr:cNvPr id="2" name="Enveloppe" descr="Enveloppe">
          <a:extLst>
            <a:ext uri="{FF2B5EF4-FFF2-40B4-BE49-F238E27FC236}">
              <a16:creationId xmlns:a16="http://schemas.microsoft.com/office/drawing/2014/main" id="{16B8D1F3-0127-42FA-AEFD-6DED79B63C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058525" y="133350"/>
          <a:ext cx="533400" cy="409575"/>
        </a:xfrm>
        <a:prstGeom prst="rect">
          <a:avLst/>
        </a:prstGeom>
      </xdr:spPr>
    </xdr:pic>
    <xdr:clientData fPrintsWithSheet="0"/>
  </xdr:twoCellAnchor>
  <xdr:twoCellAnchor>
    <xdr:from>
      <xdr:col>2</xdr:col>
      <xdr:colOff>1</xdr:colOff>
      <xdr:row>333</xdr:row>
      <xdr:rowOff>66675</xdr:rowOff>
    </xdr:from>
    <xdr:to>
      <xdr:col>21</xdr:col>
      <xdr:colOff>1</xdr:colOff>
      <xdr:row>340</xdr:row>
      <xdr:rowOff>19050</xdr:rowOff>
    </xdr:to>
    <xdr:sp macro="" textlink="" fLocksText="0">
      <xdr:nvSpPr>
        <xdr:cNvPr id="3" name="ZoneTexte 2">
          <a:extLst>
            <a:ext uri="{FF2B5EF4-FFF2-40B4-BE49-F238E27FC236}">
              <a16:creationId xmlns:a16="http://schemas.microsoft.com/office/drawing/2014/main" id="{72DEA950-FC81-409F-AF2C-3A98000DDFBD}"/>
            </a:ext>
          </a:extLst>
        </xdr:cNvPr>
        <xdr:cNvSpPr txBox="1">
          <a:spLocks noChangeAspect="1"/>
        </xdr:cNvSpPr>
      </xdr:nvSpPr>
      <xdr:spPr>
        <a:xfrm>
          <a:off x="1752600" y="6276975"/>
          <a:ext cx="8924926" cy="1285875"/>
        </a:xfrm>
        <a:prstGeom prst="rect">
          <a:avLst/>
        </a:prstGeom>
        <a:solidFill>
          <a:schemeClr val="lt1"/>
        </a:solidFill>
        <a:ln w="12700" cmpd="sng">
          <a:solidFill>
            <a:srgbClr val="C00000"/>
          </a:solidFill>
        </a:ln>
        <a:effectLst>
          <a:outerShdw blurRad="76200" dist="12700" dir="4200000" sy="-23000" kx="-800400" algn="bl" rotWithShape="0">
            <a:schemeClr val="tx1">
              <a:alpha val="20000"/>
            </a:scheme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</xdr:txBody>
    </xdr:sp>
    <xdr:clientData fLocksWithSheet="0"/>
  </xdr:twoCellAnchor>
  <xdr:twoCellAnchor>
    <xdr:from>
      <xdr:col>1</xdr:col>
      <xdr:colOff>0</xdr:colOff>
      <xdr:row>333</xdr:row>
      <xdr:rowOff>66675</xdr:rowOff>
    </xdr:from>
    <xdr:to>
      <xdr:col>1</xdr:col>
      <xdr:colOff>1504950</xdr:colOff>
      <xdr:row>340</xdr:row>
      <xdr:rowOff>19050</xdr:rowOff>
    </xdr:to>
    <xdr:sp macro="" textlink="">
      <xdr:nvSpPr>
        <xdr:cNvPr id="4" name="Rectangle : carré corné 3">
          <a:extLst>
            <a:ext uri="{FF2B5EF4-FFF2-40B4-BE49-F238E27FC236}">
              <a16:creationId xmlns:a16="http://schemas.microsoft.com/office/drawing/2014/main" id="{84444EDA-1A80-4825-9FB1-595744067090}"/>
            </a:ext>
          </a:extLst>
        </xdr:cNvPr>
        <xdr:cNvSpPr/>
      </xdr:nvSpPr>
      <xdr:spPr>
        <a:xfrm>
          <a:off x="180975" y="6276975"/>
          <a:ext cx="1504950" cy="1285875"/>
        </a:xfrm>
        <a:prstGeom prst="foldedCorner">
          <a:avLst/>
        </a:prstGeom>
        <a:solidFill>
          <a:schemeClr val="accent5">
            <a:lumMod val="50000"/>
          </a:schemeClr>
        </a:solidFill>
        <a:ln>
          <a:solidFill>
            <a:srgbClr val="C0000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2800" b="1" cap="none" spc="0">
              <a:ln w="13462">
                <a:solidFill>
                  <a:schemeClr val="bg1"/>
                </a:solidFill>
                <a:prstDash val="solid"/>
              </a:ln>
              <a:solidFill>
                <a:srgbClr val="C00000"/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Bloc Notes</a:t>
          </a:r>
        </a:p>
      </xdr:txBody>
    </xdr:sp>
    <xdr:clientData/>
  </xdr:twoCellAnchor>
  <xdr:twoCellAnchor>
    <xdr:from>
      <xdr:col>1</xdr:col>
      <xdr:colOff>0</xdr:colOff>
      <xdr:row>3</xdr:row>
      <xdr:rowOff>9524</xdr:rowOff>
    </xdr:from>
    <xdr:to>
      <xdr:col>1</xdr:col>
      <xdr:colOff>1504950</xdr:colOff>
      <xdr:row>333</xdr:row>
      <xdr:rowOff>9524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Semaine débutant le: 4">
              <a:extLst>
                <a:ext uri="{FF2B5EF4-FFF2-40B4-BE49-F238E27FC236}">
                  <a16:creationId xmlns:a16="http://schemas.microsoft.com/office/drawing/2014/main" id="{95F8F486-3A07-4224-B7E4-894290707525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débutant le: 4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676274"/>
              <a:ext cx="1504950" cy="554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1</xdr:col>
      <xdr:colOff>495300</xdr:colOff>
      <xdr:row>338</xdr:row>
      <xdr:rowOff>28575</xdr:rowOff>
    </xdr:from>
    <xdr:to>
      <xdr:col>1</xdr:col>
      <xdr:colOff>1000125</xdr:colOff>
      <xdr:row>339</xdr:row>
      <xdr:rowOff>142875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BF04DB44-9996-42F1-AB5C-24CB8EBBF924}"/>
            </a:ext>
          </a:extLst>
        </xdr:cNvPr>
        <xdr:cNvSpPr/>
      </xdr:nvSpPr>
      <xdr:spPr>
        <a:xfrm>
          <a:off x="676275" y="7191375"/>
          <a:ext cx="504825" cy="304800"/>
        </a:xfrm>
        <a:prstGeom prst="rightArrow">
          <a:avLst/>
        </a:prstGeom>
        <a:solidFill>
          <a:sysClr val="window" lastClr="FFFFFF"/>
        </a:solidFill>
        <a:ln>
          <a:solidFill>
            <a:srgbClr val="C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381000</xdr:colOff>
      <xdr:row>1</xdr:row>
      <xdr:rowOff>95250</xdr:rowOff>
    </xdr:from>
    <xdr:to>
      <xdr:col>21</xdr:col>
      <xdr:colOff>914400</xdr:colOff>
      <xdr:row>1</xdr:row>
      <xdr:rowOff>504825</xdr:rowOff>
    </xdr:to>
    <xdr:pic macro="[0]!courriel">
      <xdr:nvPicPr>
        <xdr:cNvPr id="2" name="Enveloppe" descr="Enveloppe">
          <a:extLst>
            <a:ext uri="{FF2B5EF4-FFF2-40B4-BE49-F238E27FC236}">
              <a16:creationId xmlns:a16="http://schemas.microsoft.com/office/drawing/2014/main" id="{C2CCB11E-BD83-4238-9BEA-858B5CFB2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058525" y="133350"/>
          <a:ext cx="533400" cy="409575"/>
        </a:xfrm>
        <a:prstGeom prst="rect">
          <a:avLst/>
        </a:prstGeom>
      </xdr:spPr>
    </xdr:pic>
    <xdr:clientData fPrintsWithSheet="0"/>
  </xdr:twoCellAnchor>
  <xdr:twoCellAnchor>
    <xdr:from>
      <xdr:col>2</xdr:col>
      <xdr:colOff>1</xdr:colOff>
      <xdr:row>333</xdr:row>
      <xdr:rowOff>66675</xdr:rowOff>
    </xdr:from>
    <xdr:to>
      <xdr:col>21</xdr:col>
      <xdr:colOff>1</xdr:colOff>
      <xdr:row>340</xdr:row>
      <xdr:rowOff>19050</xdr:rowOff>
    </xdr:to>
    <xdr:sp macro="" textlink="" fLocksText="0">
      <xdr:nvSpPr>
        <xdr:cNvPr id="3" name="ZoneTexte 2">
          <a:extLst>
            <a:ext uri="{FF2B5EF4-FFF2-40B4-BE49-F238E27FC236}">
              <a16:creationId xmlns:a16="http://schemas.microsoft.com/office/drawing/2014/main" id="{E6BB9E7E-3D25-437F-ABCE-EB3780665042}"/>
            </a:ext>
          </a:extLst>
        </xdr:cNvPr>
        <xdr:cNvSpPr txBox="1">
          <a:spLocks noChangeAspect="1"/>
        </xdr:cNvSpPr>
      </xdr:nvSpPr>
      <xdr:spPr>
        <a:xfrm>
          <a:off x="1752600" y="6276975"/>
          <a:ext cx="8924926" cy="1285875"/>
        </a:xfrm>
        <a:prstGeom prst="rect">
          <a:avLst/>
        </a:prstGeom>
        <a:solidFill>
          <a:schemeClr val="lt1"/>
        </a:solidFill>
        <a:ln w="12700" cmpd="sng">
          <a:solidFill>
            <a:srgbClr val="C00000"/>
          </a:solidFill>
        </a:ln>
        <a:effectLst>
          <a:outerShdw blurRad="76200" dist="12700" dir="4200000" sy="-23000" kx="-800400" algn="bl" rotWithShape="0">
            <a:schemeClr val="tx1">
              <a:alpha val="20000"/>
            </a:scheme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</xdr:txBody>
    </xdr:sp>
    <xdr:clientData fLocksWithSheet="0"/>
  </xdr:twoCellAnchor>
  <xdr:twoCellAnchor>
    <xdr:from>
      <xdr:col>1</xdr:col>
      <xdr:colOff>0</xdr:colOff>
      <xdr:row>333</xdr:row>
      <xdr:rowOff>66675</xdr:rowOff>
    </xdr:from>
    <xdr:to>
      <xdr:col>1</xdr:col>
      <xdr:colOff>1504950</xdr:colOff>
      <xdr:row>340</xdr:row>
      <xdr:rowOff>19050</xdr:rowOff>
    </xdr:to>
    <xdr:sp macro="" textlink="">
      <xdr:nvSpPr>
        <xdr:cNvPr id="4" name="Rectangle : carré corné 3">
          <a:extLst>
            <a:ext uri="{FF2B5EF4-FFF2-40B4-BE49-F238E27FC236}">
              <a16:creationId xmlns:a16="http://schemas.microsoft.com/office/drawing/2014/main" id="{477237D2-FFA5-4646-B324-D9056125A745}"/>
            </a:ext>
          </a:extLst>
        </xdr:cNvPr>
        <xdr:cNvSpPr/>
      </xdr:nvSpPr>
      <xdr:spPr>
        <a:xfrm>
          <a:off x="180975" y="6276975"/>
          <a:ext cx="1504950" cy="1285875"/>
        </a:xfrm>
        <a:prstGeom prst="foldedCorner">
          <a:avLst/>
        </a:prstGeom>
        <a:solidFill>
          <a:schemeClr val="accent5">
            <a:lumMod val="50000"/>
          </a:schemeClr>
        </a:solidFill>
        <a:ln>
          <a:solidFill>
            <a:srgbClr val="C0000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2800" b="1" cap="none" spc="0">
              <a:ln w="13462">
                <a:solidFill>
                  <a:schemeClr val="bg1"/>
                </a:solidFill>
                <a:prstDash val="solid"/>
              </a:ln>
              <a:solidFill>
                <a:srgbClr val="C00000"/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Bloc Notes</a:t>
          </a:r>
        </a:p>
      </xdr:txBody>
    </xdr:sp>
    <xdr:clientData/>
  </xdr:twoCellAnchor>
  <xdr:twoCellAnchor>
    <xdr:from>
      <xdr:col>1</xdr:col>
      <xdr:colOff>0</xdr:colOff>
      <xdr:row>3</xdr:row>
      <xdr:rowOff>9524</xdr:rowOff>
    </xdr:from>
    <xdr:to>
      <xdr:col>1</xdr:col>
      <xdr:colOff>1504950</xdr:colOff>
      <xdr:row>333</xdr:row>
      <xdr:rowOff>9524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Semaine débutant le: 5">
              <a:extLst>
                <a:ext uri="{FF2B5EF4-FFF2-40B4-BE49-F238E27FC236}">
                  <a16:creationId xmlns:a16="http://schemas.microsoft.com/office/drawing/2014/main" id="{822592F8-657A-4EE4-B07E-6080D2520847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débutant le: 5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676274"/>
              <a:ext cx="1504950" cy="554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1</xdr:col>
      <xdr:colOff>495300</xdr:colOff>
      <xdr:row>338</xdr:row>
      <xdr:rowOff>28575</xdr:rowOff>
    </xdr:from>
    <xdr:to>
      <xdr:col>1</xdr:col>
      <xdr:colOff>1000125</xdr:colOff>
      <xdr:row>339</xdr:row>
      <xdr:rowOff>142875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E5D3ABE7-CE8D-4312-ABEF-758429C869DA}"/>
            </a:ext>
          </a:extLst>
        </xdr:cNvPr>
        <xdr:cNvSpPr/>
      </xdr:nvSpPr>
      <xdr:spPr>
        <a:xfrm>
          <a:off x="676275" y="7191375"/>
          <a:ext cx="504825" cy="304800"/>
        </a:xfrm>
        <a:prstGeom prst="rightArrow">
          <a:avLst/>
        </a:prstGeom>
        <a:solidFill>
          <a:sysClr val="window" lastClr="FFFFFF"/>
        </a:solidFill>
        <a:ln>
          <a:solidFill>
            <a:srgbClr val="C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_débutant_le" xr10:uid="{4B5A6803-4F1D-4FD1-8343-6BDE5EA72733}" sourceName="Semaine débutant le: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_débutant_le1" xr10:uid="{4F12DC0F-B50B-476D-9906-8196F934FAAF}" sourceName="Semaine débutant le: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_débutant_le2" xr10:uid="{C766B93E-DE25-470C-B6A7-FCF33F3B26BC}" sourceName="Semaine débutant le: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_débutant_le3" xr10:uid="{D9C3540C-15B9-42EB-AD26-D95F6AF10F50}" sourceName="Semaine débutant le:">
  <extLst>
    <x:ext xmlns:x15="http://schemas.microsoft.com/office/spreadsheetml/2010/11/main" uri="{2F2917AC-EB37-4324-AD4E-5DD8C200BD13}">
      <x15:tableSlicerCache tableId="4" column="1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_débutant_le4" xr10:uid="{41EE6366-FB20-40DC-9009-B6095CF758CF}" sourceName="Semaine débutant le:">
  <extLst>
    <x:ext xmlns:x15="http://schemas.microsoft.com/office/spreadsheetml/2010/11/main" uri="{2F2917AC-EB37-4324-AD4E-5DD8C200BD13}">
      <x15:tableSlicerCache tableId="5" column="1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_débutant_le5" xr10:uid="{9FE05E59-23F8-46FA-80D4-3D1853B94B04}" sourceName="Semaine débutant le:">
  <extLst>
    <x:ext xmlns:x15="http://schemas.microsoft.com/office/spreadsheetml/2010/11/main" uri="{2F2917AC-EB37-4324-AD4E-5DD8C200BD13}">
      <x15:tableSlicerCache tableId="6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 débutant le:" xr10:uid="{3B313D79-389B-424F-BAC1-F973225C8DB7}" cache="Segment_Semaine_débutant_le" caption="Semaine débutant le:" style="Style de segment 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 débutant le: 1" xr10:uid="{21848E7F-75E4-46A0-940F-D07EBB9B30F8}" cache="Segment_Semaine_débutant_le1" caption="Semaine débutant le:" style="Style de segment 4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 débutant le: 2" xr10:uid="{4BFA3E18-90C6-4B36-8076-9225E9B7EADD}" cache="Segment_Semaine_débutant_le2" caption="Semaine débutant le:" style="Style de segment 4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 débutant le: 3" xr10:uid="{BD6CD8D3-2802-4D43-BFD1-36F9A8C6133B}" cache="Segment_Semaine_débutant_le3" caption="Semaine débutant le:" style="Style de segment 4" rowHeight="241300"/>
</slicers>
</file>

<file path=xl/slicers/slicer5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 débutant le: 4" xr10:uid="{A81F3147-320C-49FB-AC13-0BEA15AAA5AA}" cache="Segment_Semaine_débutant_le4" caption="Semaine débutant le:" style="Style de segment 4" rowHeight="241300"/>
</slicers>
</file>

<file path=xl/slicers/slicer6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 débutant le: 5" xr10:uid="{EB67139F-5AD0-4889-9F27-AF0F83701763}" cache="Segment_Semaine_débutant_le5" caption="Semaine débutant le:" style="Style de segment 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614E07-D9FB-466C-B037-5DD7B19FC157}" name="Tableau1" displayName="Tableau1" ref="C7:V325" headerRowDxfId="320" dataDxfId="319" totalsRowDxfId="318">
  <autoFilter ref="C7:V325" xr:uid="{07E2F7CF-D04E-41AD-BF91-1E6612F1DD51}">
    <filterColumn colId="0">
      <filters>
        <dateGroupItem year="2019" month="12" day="30" dateTimeGrouping="day"/>
      </filters>
    </filterColumn>
  </autoFilter>
  <sortState xmlns:xlrd2="http://schemas.microsoft.com/office/spreadsheetml/2017/richdata2" ref="C8:V325">
    <sortCondition ref="E8:E325"/>
  </sortState>
  <tableColumns count="20">
    <tableColumn id="1" xr3:uid="{C7909C18-0047-444C-991F-AE1A9D0B2894}" name="Semaine débutant le:" totalsRowLabel="Total" dataDxfId="317" totalsRowDxfId="316">
      <calculatedColumnFormula>INDEX(Données!$F$2:$L$54,MATCH(F8,Données!$F$2:$F$54,0),2)</calculatedColumnFormula>
    </tableColumn>
    <tableColumn id="12" xr3:uid="{D55F4667-DAAB-4DFF-B4C6-8A2561A8E35E}" name="Nom" dataDxfId="315" totalsRowDxfId="314">
      <calculatedColumnFormula>$E$4</calculatedColumnFormula>
    </tableColumn>
    <tableColumn id="2" xr3:uid="{EA9E1367-98DA-49EE-AA1F-5F00EC76DCF5}" name="Jour" dataDxfId="313" totalsRowDxfId="312">
      <calculatedColumnFormula>Données!G2</calculatedColumnFormula>
    </tableColumn>
    <tableColumn id="3" xr3:uid="{48400F5E-91C0-4C32-B6CF-7F6891FCAAAE}" name="Semaine #" dataDxfId="311" totalsRowDxfId="310">
      <calculatedColumnFormula>INDEX(Données!$F$2:$L$54,MATCH('Portail d''objectifs'!E8,Données!$G$2:$G$54,1),1)</calculatedColumnFormula>
    </tableColumn>
    <tableColumn id="8" xr3:uid="{75319E9C-5B0F-44D1-AA33-286FF4EC45C0}" name="CDS" dataDxfId="309" totalsRowDxfId="308">
      <calculatedColumnFormula>IF(AND($V$5=1),"PS-1",IF(AND($V$5=2),"PS-2",IF(AND($V$5=4),"PS-4",IF(AND($V$5=6),"S.O.",IF(AND($V$5=5),"")))))</calculatedColumnFormula>
    </tableColumn>
    <tableColumn id="4" xr3:uid="{42288846-D62F-462F-B4F4-4BDC2F8AA44E}" name="A-1" dataDxfId="307" totalsRowDxfId="306"/>
    <tableColumn id="5" xr3:uid="{CB811E6B-8398-48B1-BF6A-D177EF890FAD}" name="B-1" dataDxfId="305" totalsRowDxfId="304"/>
    <tableColumn id="13" xr3:uid="{3FB89B12-D233-42C7-BF8A-6424A0E7203E}" name="B-2" dataDxfId="303" totalsRowDxfId="302"/>
    <tableColumn id="6" xr3:uid="{067EACD4-C0E4-4C6E-AA48-8D472EE562BB}" name="C-1" dataDxfId="301" totalsRowDxfId="300"/>
    <tableColumn id="14" xr3:uid="{816B0B1E-CA70-4423-A82B-F11C86DC07B4}" name="C-2" dataDxfId="299" totalsRowDxfId="298"/>
    <tableColumn id="20" xr3:uid="{4D107AD8-2089-4CB1-A138-7DA109212BD5}" name="D-1" dataDxfId="297" totalsRowDxfId="296"/>
    <tableColumn id="19" xr3:uid="{75FF3F3D-367D-4BC7-B690-263EE12507ED}" name="D-2" dataDxfId="295" totalsRowDxfId="294"/>
    <tableColumn id="7" xr3:uid="{E4D2FCA7-881E-4EBE-AD46-78527619A721}" name="E-1" dataDxfId="293" totalsRowDxfId="292"/>
    <tableColumn id="9" xr3:uid="{6EA33798-F591-45B9-9823-646BCB43B805}" name="E2" dataDxfId="291" totalsRowDxfId="290"/>
    <tableColumn id="15" xr3:uid="{62DA6172-C507-42FC-9657-9142B930D70F}" name="G-1" dataDxfId="289" totalsRowDxfId="288"/>
    <tableColumn id="17" xr3:uid="{708F2F0C-1CAF-4B7D-8679-5F43949BE810}" name="G-2" dataDxfId="287" totalsRowDxfId="286"/>
    <tableColumn id="18" xr3:uid="{FE5262C1-80DC-4C25-A1AD-DB8790E09D52}" name="G-3" dataDxfId="285" totalsRowDxfId="284"/>
    <tableColumn id="16" xr3:uid="{E610BE3A-7294-4690-A500-9025A8AF4D99}" name="G-4" dataDxfId="283" totalsRowDxfId="282"/>
    <tableColumn id="10" xr3:uid="{69142B6B-5803-4E71-B90A-13E7F6E99166}" name="G-5" dataDxfId="281" totalsRowDxfId="280"/>
    <tableColumn id="11" xr3:uid="{B3269A7B-8BBB-4201-8BBA-F56C18040D61}" name="Commentaires" dataDxfId="279" totalsRowDxfId="278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37D177-5F42-4FDD-B753-608224CA040F}" name="Tableau13" displayName="Tableau13" ref="C7:V325" headerRowDxfId="242" dataDxfId="241" totalsRowDxfId="240">
  <autoFilter ref="C7:V325" xr:uid="{07E2F7CF-D04E-41AD-BF91-1E6612F1DD51}">
    <filterColumn colId="0">
      <filters>
        <dateGroupItem year="2019" month="12" day="30" dateTimeGrouping="day"/>
      </filters>
    </filterColumn>
  </autoFilter>
  <sortState xmlns:xlrd2="http://schemas.microsoft.com/office/spreadsheetml/2017/richdata2" ref="C8:V325">
    <sortCondition ref="E8:E325"/>
  </sortState>
  <tableColumns count="20">
    <tableColumn id="1" xr3:uid="{3719AC74-0597-493A-A597-6A4B197AE773}" name="Semaine débutant le:" totalsRowLabel="Total" dataDxfId="238" totalsRowDxfId="239">
      <calculatedColumnFormula>INDEX(Données!$F$2:$L$54,MATCH(F8,Données!$F$2:$F$54,0),2)</calculatedColumnFormula>
    </tableColumn>
    <tableColumn id="12" xr3:uid="{1BEC6F9B-67FB-45F5-9AF6-80A973BA581F}" name="Nom" dataDxfId="236" totalsRowDxfId="237">
      <calculatedColumnFormula>$E$4</calculatedColumnFormula>
    </tableColumn>
    <tableColumn id="2" xr3:uid="{2818F526-B9C7-4FC2-A9D3-F8FD98FC4E4D}" name="Jour" dataDxfId="234" totalsRowDxfId="235">
      <calculatedColumnFormula>Données!G2</calculatedColumnFormula>
    </tableColumn>
    <tableColumn id="3" xr3:uid="{BA6555CA-8813-4301-AF80-DDC16BA4F582}" name="Semaine #" dataDxfId="232" totalsRowDxfId="233">
      <calculatedColumnFormula>INDEX(Données!$F$2:$L$54,MATCH('#1'!E8,Données!$G$2:$G$54,1),1)</calculatedColumnFormula>
    </tableColumn>
    <tableColumn id="8" xr3:uid="{93D54B2A-8CD4-486E-B81C-DF2160F84DBC}" name="CDS" dataDxfId="230" totalsRowDxfId="231">
      <calculatedColumnFormula>IF(AND($V$5=1),"PS-1",IF(AND($V$5=2),"PS-2",IF(AND($V$5=4),"PS-4",IF(AND($V$5=6),"S.O.",IF(AND($V$5=5),"")))))</calculatedColumnFormula>
    </tableColumn>
    <tableColumn id="4" xr3:uid="{A6BEDF77-B39F-4F79-929D-24E932307019}" name="A-1" dataDxfId="228" totalsRowDxfId="229"/>
    <tableColumn id="5" xr3:uid="{5B1F9A63-6427-4CF5-AC69-FD772D12EB9A}" name="B-1" dataDxfId="226" totalsRowDxfId="227"/>
    <tableColumn id="13" xr3:uid="{D1A18D97-6009-491F-A967-CF79E7577EFD}" name="B-2" dataDxfId="224" totalsRowDxfId="225"/>
    <tableColumn id="6" xr3:uid="{2E726216-3B46-4203-9F4C-3F2E8A9B7832}" name="C-1" dataDxfId="222" totalsRowDxfId="223"/>
    <tableColumn id="14" xr3:uid="{F1F4859E-0E93-413F-A36B-736CC84D3DCD}" name="C-2" dataDxfId="220" totalsRowDxfId="221"/>
    <tableColumn id="20" xr3:uid="{6EC0A248-F887-4EED-B82D-B216EEBC9355}" name="D-1" dataDxfId="218" totalsRowDxfId="219"/>
    <tableColumn id="19" xr3:uid="{D727E6CC-D78B-46A9-9807-1F0882FB3AEF}" name="D-2" dataDxfId="216" totalsRowDxfId="217"/>
    <tableColumn id="7" xr3:uid="{6AE270F7-6823-4767-99A2-307A535ACBB8}" name="E-1" dataDxfId="214" totalsRowDxfId="215"/>
    <tableColumn id="9" xr3:uid="{E926D1D7-D85B-4938-BCC5-683F7CAF1E17}" name="E2" dataDxfId="212" totalsRowDxfId="213"/>
    <tableColumn id="15" xr3:uid="{C715BE06-99F1-4337-A0FE-8B735861F80F}" name="G-1" dataDxfId="210" totalsRowDxfId="211"/>
    <tableColumn id="17" xr3:uid="{D8D0A004-F5F1-4AB8-9EE2-03E898B5DBB6}" name="G-2" dataDxfId="208" totalsRowDxfId="209"/>
    <tableColumn id="18" xr3:uid="{0DFE1098-624E-4381-8892-3C70CB0060BE}" name="G-3" dataDxfId="206" totalsRowDxfId="207"/>
    <tableColumn id="16" xr3:uid="{4C8A9A65-2208-4734-82B0-886111D74AAC}" name="G-4" dataDxfId="204" totalsRowDxfId="205"/>
    <tableColumn id="10" xr3:uid="{AB3431A1-F77E-40DA-B214-B4B1D6C1C0EB}" name="G-5" dataDxfId="202" totalsRowDxfId="203"/>
    <tableColumn id="11" xr3:uid="{ED155D2E-3747-4E97-90B3-227772B69C07}" name="Commentaires" dataDxfId="200" totalsRowDxfId="201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7968BF3-097A-42AF-93B8-3C427AC57ADD}" name="Tableau14" displayName="Tableau14" ref="C7:V325" headerRowDxfId="192" dataDxfId="191" totalsRowDxfId="190">
  <autoFilter ref="C7:V325" xr:uid="{07E2F7CF-D04E-41AD-BF91-1E6612F1DD51}">
    <filterColumn colId="0">
      <filters>
        <dateGroupItem year="2019" month="12" day="30" dateTimeGrouping="day"/>
      </filters>
    </filterColumn>
  </autoFilter>
  <sortState xmlns:xlrd2="http://schemas.microsoft.com/office/spreadsheetml/2017/richdata2" ref="C8:V325">
    <sortCondition ref="E8:E325"/>
  </sortState>
  <tableColumns count="20">
    <tableColumn id="1" xr3:uid="{15A1A0D5-95A0-48D5-A23B-4F1F70BD530B}" name="Semaine débutant le:" totalsRowLabel="Total" dataDxfId="188" totalsRowDxfId="189">
      <calculatedColumnFormula>INDEX(Données!$F$2:$L$54,MATCH(F8,Données!$F$2:$F$54,0),2)</calculatedColumnFormula>
    </tableColumn>
    <tableColumn id="12" xr3:uid="{BA571770-0553-472E-A650-071039A5B931}" name="Nom" dataDxfId="186" totalsRowDxfId="187">
      <calculatedColumnFormula>$E$4</calculatedColumnFormula>
    </tableColumn>
    <tableColumn id="2" xr3:uid="{38953ADC-B386-424F-91FC-C5DAA9CA9D43}" name="Jour" dataDxfId="184" totalsRowDxfId="185">
      <calculatedColumnFormula>Données!G2</calculatedColumnFormula>
    </tableColumn>
    <tableColumn id="3" xr3:uid="{D1833D9F-EA53-4C76-8459-AF0150294978}" name="Semaine #" dataDxfId="182" totalsRowDxfId="183">
      <calculatedColumnFormula>INDEX(Données!$F$2:$L$54,MATCH('#2'!E8,Données!$G$2:$G$54,1),1)</calculatedColumnFormula>
    </tableColumn>
    <tableColumn id="8" xr3:uid="{1C51198A-BE87-42CA-9373-D92CD69E2F9C}" name="CDS" dataDxfId="180" totalsRowDxfId="181">
      <calculatedColumnFormula>IF(AND($V$5=1),"PS-1",IF(AND($V$5=2),"PS-2",IF(AND($V$5=4),"PS-4",IF(AND($V$5=6),"S.O.",IF(AND($V$5=5),"")))))</calculatedColumnFormula>
    </tableColumn>
    <tableColumn id="4" xr3:uid="{B50B89FE-F4C1-4C16-9F13-97DEB1DB62F0}" name="A-1" dataDxfId="178" totalsRowDxfId="179"/>
    <tableColumn id="5" xr3:uid="{97FC5F3A-A2B7-450B-B7D5-C5087FA53BB5}" name="B-1" dataDxfId="176" totalsRowDxfId="177"/>
    <tableColumn id="13" xr3:uid="{0D25D1B5-7C87-4354-B1D5-5AF1EC527922}" name="B-2" dataDxfId="174" totalsRowDxfId="175"/>
    <tableColumn id="6" xr3:uid="{1F142B13-6FCC-4891-A893-B6EFB887BA73}" name="C-1" dataDxfId="172" totalsRowDxfId="173"/>
    <tableColumn id="14" xr3:uid="{4BEA6B4A-C376-41F7-A1ED-4F6437134BA2}" name="C-2" dataDxfId="170" totalsRowDxfId="171"/>
    <tableColumn id="20" xr3:uid="{05DE66AD-4DF8-408D-ACAF-DEF5F628D20A}" name="D-1" dataDxfId="168" totalsRowDxfId="169"/>
    <tableColumn id="19" xr3:uid="{65B2C942-DF1B-49E6-BD55-C9BB53A91473}" name="D-2" dataDxfId="166" totalsRowDxfId="167"/>
    <tableColumn id="7" xr3:uid="{90603F7E-FA4F-42C1-A30E-E3884880F108}" name="E-1" dataDxfId="164" totalsRowDxfId="165"/>
    <tableColumn id="9" xr3:uid="{628B387F-F005-4E2E-B25E-7B531F0E9A45}" name="E2" dataDxfId="162" totalsRowDxfId="163"/>
    <tableColumn id="15" xr3:uid="{BB599115-99CC-4817-B542-EEB06E2A00EF}" name="G-1" dataDxfId="160" totalsRowDxfId="161"/>
    <tableColumn id="17" xr3:uid="{3A0B9244-2DC6-4322-8C9E-C4E28559509D}" name="G-2" dataDxfId="158" totalsRowDxfId="159"/>
    <tableColumn id="18" xr3:uid="{615F6EB6-F4A8-4BED-BDCE-A0222A4994DC}" name="G-3" dataDxfId="156" totalsRowDxfId="157"/>
    <tableColumn id="16" xr3:uid="{61AE25F6-053E-420A-A7C8-4B7CB7A3C5DE}" name="G-4" dataDxfId="154" totalsRowDxfId="155"/>
    <tableColumn id="10" xr3:uid="{F65A4537-9369-4F0C-ABA0-F7E96F7D741B}" name="G-5" dataDxfId="152" totalsRowDxfId="153"/>
    <tableColumn id="11" xr3:uid="{236EC216-8144-484E-96EF-B1301D1D1D8F}" name="Commentaires" dataDxfId="150" totalsRowDxfId="151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8CC1290-09D2-4DB8-BF55-BCC7DC824BF9}" name="Tableau15" displayName="Tableau15" ref="C7:V325" headerRowDxfId="142" dataDxfId="141" totalsRowDxfId="140">
  <autoFilter ref="C7:V325" xr:uid="{07E2F7CF-D04E-41AD-BF91-1E6612F1DD51}">
    <filterColumn colId="0">
      <filters>
        <dateGroupItem year="2019" month="12" day="30" dateTimeGrouping="day"/>
      </filters>
    </filterColumn>
  </autoFilter>
  <sortState xmlns:xlrd2="http://schemas.microsoft.com/office/spreadsheetml/2017/richdata2" ref="C8:V325">
    <sortCondition ref="E8:E325"/>
  </sortState>
  <tableColumns count="20">
    <tableColumn id="1" xr3:uid="{8DE450F5-409B-4938-8358-C5BDD6212924}" name="Semaine débutant le:" totalsRowLabel="Total" dataDxfId="138" totalsRowDxfId="139">
      <calculatedColumnFormula>INDEX(Données!$F$2:$L$54,MATCH(F8,Données!$F$2:$F$54,0),2)</calculatedColumnFormula>
    </tableColumn>
    <tableColumn id="12" xr3:uid="{D05486FE-F3F9-4B76-9AE3-B03FEA0928F1}" name="Nom" dataDxfId="136" totalsRowDxfId="137">
      <calculatedColumnFormula>$E$4</calculatedColumnFormula>
    </tableColumn>
    <tableColumn id="2" xr3:uid="{5CDD9600-D718-43F9-877A-DE6337541F08}" name="Jour" dataDxfId="134" totalsRowDxfId="135">
      <calculatedColumnFormula>Données!G2</calculatedColumnFormula>
    </tableColumn>
    <tableColumn id="3" xr3:uid="{7FED8AE4-44C9-4F61-AB58-63BB28B9330A}" name="Semaine #" dataDxfId="132" totalsRowDxfId="133">
      <calculatedColumnFormula>INDEX(Données!$F$2:$L$54,MATCH('#4'!E8,Données!$G$2:$G$54,1),1)</calculatedColumnFormula>
    </tableColumn>
    <tableColumn id="8" xr3:uid="{109EEA33-9F3A-4425-97C8-35A46859492A}" name="CDS" dataDxfId="130" totalsRowDxfId="131">
      <calculatedColumnFormula>IF(AND($V$5=1),"PS-1",IF(AND($V$5=2),"PS-2",IF(AND($V$5=4),"PS-4",IF(AND($V$5=6),"S.O.",IF(AND($V$5=5),"")))))</calculatedColumnFormula>
    </tableColumn>
    <tableColumn id="4" xr3:uid="{6717B51B-C6E0-42C3-86EF-D3B17782B26C}" name="A-1" dataDxfId="128" totalsRowDxfId="129"/>
    <tableColumn id="5" xr3:uid="{4DEF0518-F90C-454C-9D9E-A6BF21CEA47F}" name="B-1" dataDxfId="126" totalsRowDxfId="127"/>
    <tableColumn id="13" xr3:uid="{A6157079-37BF-4E35-94D7-ED19BBBDF825}" name="B-2" dataDxfId="124" totalsRowDxfId="125"/>
    <tableColumn id="6" xr3:uid="{1B9CC1A4-B013-4A54-BBC8-405D4EAE9C92}" name="C-1" dataDxfId="122" totalsRowDxfId="123"/>
    <tableColumn id="14" xr3:uid="{5C22C167-A856-46CD-8803-5A1AFC2199D0}" name="C-2" dataDxfId="120" totalsRowDxfId="121"/>
    <tableColumn id="20" xr3:uid="{50FA0216-C16E-4916-8C69-264F6ACBA150}" name="D-1" dataDxfId="118" totalsRowDxfId="119"/>
    <tableColumn id="19" xr3:uid="{922495C2-0A46-43EE-94A1-4666D6D3000C}" name="D-2" dataDxfId="116" totalsRowDxfId="117"/>
    <tableColumn id="7" xr3:uid="{2622B7A9-835E-49E6-BBDC-2D80B53FE5BF}" name="E-1" dataDxfId="114" totalsRowDxfId="115"/>
    <tableColumn id="9" xr3:uid="{FA615762-2AD4-4876-965C-8EAF4D65AA54}" name="E2" dataDxfId="112" totalsRowDxfId="113"/>
    <tableColumn id="15" xr3:uid="{C2AF555C-B032-4C6B-A99F-D80E7880382F}" name="G-1" dataDxfId="110" totalsRowDxfId="111"/>
    <tableColumn id="17" xr3:uid="{F8C45198-5FC2-45C3-9870-3B139368F32A}" name="G-2" dataDxfId="108" totalsRowDxfId="109"/>
    <tableColumn id="18" xr3:uid="{25D89DEB-D1F7-4FF5-8EB1-375BD8706E4F}" name="G-3" dataDxfId="106" totalsRowDxfId="107"/>
    <tableColumn id="16" xr3:uid="{E601953D-6051-4733-BDB1-9F31E9519994}" name="G-4" dataDxfId="104" totalsRowDxfId="105"/>
    <tableColumn id="10" xr3:uid="{B68315ED-FCCC-4DF7-A6EF-EBE037BCDCF0}" name="G-5" dataDxfId="102" totalsRowDxfId="103"/>
    <tableColumn id="11" xr3:uid="{3DAE8681-41C2-42DC-B6DE-1789FFA0FFAF}" name="Commentaires" dataDxfId="100" totalsRowDxfId="101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1367B7B-F7F6-4E4F-AC9D-6AE2F987FA14}" name="Tableau16" displayName="Tableau16" ref="C7:V325" headerRowDxfId="92" dataDxfId="91" totalsRowDxfId="90">
  <autoFilter ref="C7:V325" xr:uid="{07E2F7CF-D04E-41AD-BF91-1E6612F1DD51}">
    <filterColumn colId="0">
      <filters>
        <dateGroupItem year="2019" month="12" day="30" dateTimeGrouping="day"/>
      </filters>
    </filterColumn>
  </autoFilter>
  <sortState xmlns:xlrd2="http://schemas.microsoft.com/office/spreadsheetml/2017/richdata2" ref="C8:V325">
    <sortCondition ref="E8:E325"/>
  </sortState>
  <tableColumns count="20">
    <tableColumn id="1" xr3:uid="{A5B5E5D7-3399-4BC3-B6F1-CA7BD52D836C}" name="Semaine débutant le:" totalsRowLabel="Total" dataDxfId="88" totalsRowDxfId="89">
      <calculatedColumnFormula>INDEX(Données!$F$2:$L$54,MATCH(F8,Données!$F$2:$F$54,0),2)</calculatedColumnFormula>
    </tableColumn>
    <tableColumn id="12" xr3:uid="{9AD1FBCA-ABC4-4435-97A5-A0128D5CC2CC}" name="Nom" dataDxfId="86" totalsRowDxfId="87">
      <calculatedColumnFormula>$E$4</calculatedColumnFormula>
    </tableColumn>
    <tableColumn id="2" xr3:uid="{9807E870-3FF1-4CE8-B6CF-F5DE69E0815C}" name="Jour" dataDxfId="84" totalsRowDxfId="85">
      <calculatedColumnFormula>Données!G2</calculatedColumnFormula>
    </tableColumn>
    <tableColumn id="3" xr3:uid="{4E460A45-EFB1-410C-BD61-54EB77F2188C}" name="Semaine #" dataDxfId="82" totalsRowDxfId="83">
      <calculatedColumnFormula>INDEX(Données!$F$2:$L$54,MATCH('#5'!E8,Données!$G$2:$G$54,1),1)</calculatedColumnFormula>
    </tableColumn>
    <tableColumn id="8" xr3:uid="{4F8A926F-979A-413F-8EC1-09CD75DA7EB2}" name="CDS" dataDxfId="80" totalsRowDxfId="81">
      <calculatedColumnFormula>IF(AND($V$5=1),"PS-1",IF(AND($V$5=2),"PS-2",IF(AND($V$5=4),"PS-4",IF(AND($V$5=6),"S.O.",IF(AND($V$5=5),"")))))</calculatedColumnFormula>
    </tableColumn>
    <tableColumn id="4" xr3:uid="{E485C3CE-E678-47F8-9F80-BA55303D9548}" name="A-1" dataDxfId="78" totalsRowDxfId="79"/>
    <tableColumn id="5" xr3:uid="{EAF2C209-0FB2-4883-86A7-890D37BF67A7}" name="B-1" dataDxfId="76" totalsRowDxfId="77"/>
    <tableColumn id="13" xr3:uid="{BBB7989D-0F3A-4CD1-85AA-D0EE26A6DE6E}" name="B-2" dataDxfId="74" totalsRowDxfId="75"/>
    <tableColumn id="6" xr3:uid="{0D611D2B-6E13-4541-890B-DAB15136CB2B}" name="C-1" dataDxfId="72" totalsRowDxfId="73"/>
    <tableColumn id="14" xr3:uid="{B8153486-7D6A-47E5-918C-CB910216D0D0}" name="C-2" dataDxfId="70" totalsRowDxfId="71"/>
    <tableColumn id="20" xr3:uid="{8F5F1CD0-0C53-4E8D-A7D7-047706C6E262}" name="D-1" dataDxfId="68" totalsRowDxfId="69"/>
    <tableColumn id="19" xr3:uid="{64040EF2-02A0-4279-8319-80028AB38B6D}" name="D-2" dataDxfId="66" totalsRowDxfId="67"/>
    <tableColumn id="7" xr3:uid="{77FF904A-AE65-4F4F-AC97-C1CCDA3F78BA}" name="E-1" dataDxfId="64" totalsRowDxfId="65"/>
    <tableColumn id="9" xr3:uid="{EF9D00D1-81AF-4D3D-B2AB-3F7D35250042}" name="E2" dataDxfId="62" totalsRowDxfId="63"/>
    <tableColumn id="15" xr3:uid="{2456DDD0-B507-4870-A8BB-C01A3E4E34D2}" name="G-1" dataDxfId="60" totalsRowDxfId="61"/>
    <tableColumn id="17" xr3:uid="{27665FC4-1C12-49A6-A7C4-4285607213EF}" name="G-2" dataDxfId="58" totalsRowDxfId="59"/>
    <tableColumn id="18" xr3:uid="{E684FF08-917B-4090-88A7-FBDE4344F44E}" name="G-3" dataDxfId="56" totalsRowDxfId="57"/>
    <tableColumn id="16" xr3:uid="{581BE94F-8B0D-4F01-8798-E7B3D2D9E8AF}" name="G-4" dataDxfId="54" totalsRowDxfId="55"/>
    <tableColumn id="10" xr3:uid="{0F0AB24C-FB4D-4152-BF64-520B7D06D610}" name="G-5" dataDxfId="52" totalsRowDxfId="53"/>
    <tableColumn id="11" xr3:uid="{C9F29AD0-C381-4D7D-A62E-1F1F90F89AAF}" name="Commentaires" dataDxfId="50" totalsRowDxfId="51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1A88E4C-690D-475B-BF78-0C21FAEDCDAB}" name="Tableau17" displayName="Tableau17" ref="C7:V325" headerRowDxfId="42" dataDxfId="41" totalsRowDxfId="40">
  <autoFilter ref="C7:V325" xr:uid="{07E2F7CF-D04E-41AD-BF91-1E6612F1DD51}">
    <filterColumn colId="0">
      <filters>
        <dateGroupItem year="2019" month="12" day="30" dateTimeGrouping="day"/>
      </filters>
    </filterColumn>
  </autoFilter>
  <sortState xmlns:xlrd2="http://schemas.microsoft.com/office/spreadsheetml/2017/richdata2" ref="C8:V325">
    <sortCondition ref="E8:E325"/>
  </sortState>
  <tableColumns count="20">
    <tableColumn id="1" xr3:uid="{EB34DC55-057D-49E7-8305-C24CF8F0D889}" name="Semaine débutant le:" totalsRowLabel="Total" dataDxfId="38" totalsRowDxfId="39">
      <calculatedColumnFormula>INDEX(Données!$F$2:$L$54,MATCH(F8,Données!$F$2:$F$54,0),2)</calculatedColumnFormula>
    </tableColumn>
    <tableColumn id="12" xr3:uid="{BDEED26B-69F1-4099-ACE5-F961AF0B5BA8}" name="Nom" dataDxfId="36" totalsRowDxfId="37">
      <calculatedColumnFormula>$E$4</calculatedColumnFormula>
    </tableColumn>
    <tableColumn id="2" xr3:uid="{D9020A42-7784-4A22-9A97-4931EA468B24}" name="Jour" dataDxfId="34" totalsRowDxfId="35">
      <calculatedColumnFormula>Données!G2</calculatedColumnFormula>
    </tableColumn>
    <tableColumn id="3" xr3:uid="{1BD21439-00E5-41EE-9E33-E12C6ABAC9CA}" name="Semaine #" dataDxfId="32" totalsRowDxfId="33">
      <calculatedColumnFormula>INDEX(Données!$F$2:$L$54,MATCH('#6'!E8,Données!$G$2:$G$54,1),1)</calculatedColumnFormula>
    </tableColumn>
    <tableColumn id="8" xr3:uid="{8FE28017-8712-4C68-B22A-0F8B7FEE76B3}" name="CDS" dataDxfId="30" totalsRowDxfId="31">
      <calculatedColumnFormula>IF(AND($V$5=1),"PS-1",IF(AND($V$5=2),"PS-2",IF(AND($V$5=4),"PS-4",IF(AND($V$5=6),"S.O.",IF(AND($V$5=5),"")))))</calculatedColumnFormula>
    </tableColumn>
    <tableColumn id="4" xr3:uid="{7E00D875-2D87-4F62-8D3D-59E081F99D3C}" name="A-1" dataDxfId="28" totalsRowDxfId="29"/>
    <tableColumn id="5" xr3:uid="{F1B3ED08-A0B5-42C6-84AA-F7F64D91E81B}" name="B-1" dataDxfId="26" totalsRowDxfId="27"/>
    <tableColumn id="13" xr3:uid="{743843E1-80B4-4542-83ED-F1953A63621A}" name="B-2" dataDxfId="24" totalsRowDxfId="25"/>
    <tableColumn id="6" xr3:uid="{0B820E18-82DD-4D06-A766-EF74C4D4B3C4}" name="C-1" dataDxfId="22" totalsRowDxfId="23"/>
    <tableColumn id="14" xr3:uid="{17A21E0B-D621-4CD9-9E7A-FB4DDE71E15B}" name="C-2" dataDxfId="20" totalsRowDxfId="21"/>
    <tableColumn id="20" xr3:uid="{40E8C908-47C7-4A20-998B-6D9627C30C62}" name="D-1" dataDxfId="18" totalsRowDxfId="19"/>
    <tableColumn id="19" xr3:uid="{ABEC0649-19C7-4A77-ACA4-2289572B5397}" name="D-2" dataDxfId="16" totalsRowDxfId="17"/>
    <tableColumn id="7" xr3:uid="{7A594A5B-D9A2-4D02-A72F-448875D7D99A}" name="E-1" dataDxfId="14" totalsRowDxfId="15"/>
    <tableColumn id="9" xr3:uid="{F4AC01D1-5A57-4B16-92E6-DEF552388A33}" name="E2" dataDxfId="12" totalsRowDxfId="13"/>
    <tableColumn id="15" xr3:uid="{3A400AEF-DD6D-441A-AEF1-16A519627FF4}" name="G-1" dataDxfId="10" totalsRowDxfId="11"/>
    <tableColumn id="17" xr3:uid="{946BAB04-0FDD-41BA-A0AD-988B36EC02A0}" name="G-2" dataDxfId="8" totalsRowDxfId="9"/>
    <tableColumn id="18" xr3:uid="{276160D6-C65B-4E15-A5A6-524199078762}" name="G-3" dataDxfId="6" totalsRowDxfId="7"/>
    <tableColumn id="16" xr3:uid="{D72F8148-32E3-4CDD-B889-8DBF579C0B77}" name="G-4" dataDxfId="4" totalsRowDxfId="5"/>
    <tableColumn id="10" xr3:uid="{DF4F4D88-0C92-454F-AF6C-9438F5D9B0B6}" name="G-5" dataDxfId="2" totalsRowDxfId="3"/>
    <tableColumn id="11" xr3:uid="{96A080D8-703E-4918-8F1A-381E923559C5}" name="Commentaires" dataDxfId="0" totalsRowDxfId="1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microsoft.com/office/2007/relationships/slicer" Target="../slicers/slicer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microsoft.com/office/2007/relationships/slicer" Target="../slicers/slicer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microsoft.com/office/2007/relationships/slicer" Target="../slicers/slicer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microsoft.com/office/2007/relationships/slicer" Target="../slicers/slicer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microsoft.com/office/2007/relationships/slicer" Target="../slicers/slicer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09278-62C2-4C67-A9BB-94CBDFD8BE1C}">
  <sheetPr codeName="Feuil14">
    <tabColor theme="5"/>
  </sheetPr>
  <dimension ref="A1"/>
  <sheetViews>
    <sheetView showGridLines="0" showRowColHeaders="0" zoomScaleNormal="100" workbookViewId="0">
      <selection activeCell="J28" sqref="J28"/>
    </sheetView>
  </sheetViews>
  <sheetFormatPr baseColWidth="10" defaultColWidth="11.42578125" defaultRowHeight="15" x14ac:dyDescent="0.25"/>
  <cols>
    <col min="1" max="1" width="7.85546875" style="66" customWidth="1"/>
    <col min="2" max="13" width="11.42578125" style="66" customWidth="1"/>
    <col min="14" max="14" width="5.5703125" style="66" customWidth="1"/>
    <col min="15" max="15" width="11.42578125" style="66" customWidth="1"/>
    <col min="16" max="16" width="15.140625" style="66" customWidth="1"/>
    <col min="17" max="17" width="7.28515625" style="66" customWidth="1"/>
    <col min="18" max="32" width="11.42578125" style="66" customWidth="1"/>
    <col min="33" max="16384" width="11.42578125" style="66"/>
  </cols>
  <sheetData/>
  <sheetProtection selectLockedCells="1"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B914DF-52A2-4793-9AC9-894DB769A46B}">
  <sheetPr codeName="Feuil15">
    <tabColor theme="9"/>
    <pageSetUpPr fitToPage="1"/>
  </sheetPr>
  <dimension ref="A1:AL602"/>
  <sheetViews>
    <sheetView showGridLines="0" zoomScaleNormal="100" workbookViewId="0">
      <selection activeCell="E4" sqref="E4:V4"/>
    </sheetView>
  </sheetViews>
  <sheetFormatPr baseColWidth="10" defaultColWidth="11.42578125" defaultRowHeight="15" x14ac:dyDescent="0.25"/>
  <cols>
    <col min="1" max="1" width="2.7109375" style="69" customWidth="1"/>
    <col min="2" max="2" width="23.5703125" style="3" customWidth="1"/>
    <col min="3" max="3" width="22.42578125" style="4" hidden="1" customWidth="1"/>
    <col min="4" max="4" width="25.140625" style="4" hidden="1" customWidth="1"/>
    <col min="5" max="5" width="15" style="3" customWidth="1"/>
    <col min="6" max="6" width="12.42578125" style="3" hidden="1" customWidth="1"/>
    <col min="7" max="7" width="6" style="3" customWidth="1"/>
    <col min="8" max="8" width="10.7109375" style="3" customWidth="1"/>
    <col min="9" max="21" width="7.85546875" style="3" customWidth="1"/>
    <col min="22" max="22" width="32.28515625" style="1" customWidth="1"/>
    <col min="23" max="23" width="4.140625" style="69" customWidth="1"/>
    <col min="24" max="25" width="11.42578125" style="69"/>
    <col min="26" max="27" width="11.42578125" style="73"/>
    <col min="28" max="35" width="11.42578125" style="69"/>
    <col min="36" max="36" width="11.42578125" style="72"/>
    <col min="37" max="16384" width="11.42578125" style="3"/>
  </cols>
  <sheetData>
    <row r="1" spans="1:38" s="69" customFormat="1" ht="3" customHeight="1" x14ac:dyDescent="0.25">
      <c r="A1" s="75"/>
      <c r="B1" s="75"/>
      <c r="C1" s="76"/>
      <c r="D1" s="76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7"/>
      <c r="W1" s="75"/>
      <c r="X1" s="75"/>
      <c r="Y1" s="75"/>
      <c r="Z1" s="96"/>
      <c r="AA1" s="96"/>
      <c r="AB1" s="75"/>
      <c r="AC1" s="75"/>
      <c r="AD1" s="75"/>
      <c r="AE1" s="75"/>
      <c r="AF1" s="75"/>
      <c r="AG1" s="75"/>
      <c r="AH1" s="75"/>
      <c r="AI1" s="137"/>
      <c r="AJ1" s="79"/>
      <c r="AK1" s="75"/>
    </row>
    <row r="2" spans="1:38" ht="46.5" x14ac:dyDescent="0.25">
      <c r="A2" s="75"/>
      <c r="B2" s="160" t="s">
        <v>85</v>
      </c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161"/>
      <c r="V2" s="162"/>
      <c r="W2" s="75"/>
      <c r="X2" s="75"/>
      <c r="Y2" s="75"/>
      <c r="Z2" s="96"/>
      <c r="AA2" s="96"/>
      <c r="AB2" s="75"/>
      <c r="AC2" s="75"/>
      <c r="AD2" s="75"/>
      <c r="AE2" s="75"/>
      <c r="AF2" s="75"/>
      <c r="AG2" s="75"/>
      <c r="AH2" s="75"/>
      <c r="AI2" s="75"/>
      <c r="AJ2" s="79"/>
      <c r="AK2" s="75"/>
      <c r="AL2" s="75"/>
    </row>
    <row r="3" spans="1:38" s="69" customFormat="1" ht="3" customHeight="1" x14ac:dyDescent="0.25">
      <c r="A3" s="75"/>
      <c r="B3" s="75"/>
      <c r="C3" s="76"/>
      <c r="D3" s="76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7"/>
      <c r="W3" s="75"/>
      <c r="X3" s="75"/>
      <c r="Y3" s="75"/>
      <c r="Z3" s="96"/>
      <c r="AA3" s="96"/>
      <c r="AB3" s="75"/>
      <c r="AC3" s="75"/>
      <c r="AD3" s="75"/>
      <c r="AE3" s="75"/>
      <c r="AF3" s="75"/>
      <c r="AG3" s="75"/>
      <c r="AH3" s="75"/>
      <c r="AI3" s="75"/>
      <c r="AJ3" s="81"/>
      <c r="AK3" s="75"/>
      <c r="AL3" s="75"/>
    </row>
    <row r="4" spans="1:38" ht="46.5" customHeight="1" x14ac:dyDescent="0.25">
      <c r="A4" s="75"/>
      <c r="B4" s="75"/>
      <c r="C4" s="50"/>
      <c r="D4" s="50"/>
      <c r="E4" s="163" t="s">
        <v>9</v>
      </c>
      <c r="F4" s="164"/>
      <c r="G4" s="164"/>
      <c r="H4" s="164"/>
      <c r="I4" s="164"/>
      <c r="J4" s="164"/>
      <c r="K4" s="164"/>
      <c r="L4" s="164"/>
      <c r="M4" s="164"/>
      <c r="N4" s="164"/>
      <c r="O4" s="164"/>
      <c r="P4" s="164"/>
      <c r="Q4" s="164"/>
      <c r="R4" s="164"/>
      <c r="S4" s="164"/>
      <c r="T4" s="164"/>
      <c r="U4" s="164"/>
      <c r="V4" s="165"/>
      <c r="W4" s="75"/>
      <c r="X4" s="75"/>
      <c r="Y4" s="75"/>
      <c r="Z4" s="96"/>
      <c r="AA4" s="96"/>
      <c r="AB4" s="75"/>
      <c r="AC4" s="75"/>
      <c r="AD4" s="75"/>
      <c r="AE4" s="75"/>
      <c r="AF4" s="75"/>
      <c r="AG4" s="75"/>
      <c r="AH4" s="75"/>
      <c r="AI4" s="75"/>
      <c r="AJ4" s="81"/>
      <c r="AK4" s="75"/>
      <c r="AL4" s="75"/>
    </row>
    <row r="5" spans="1:38" ht="30.75" customHeight="1" x14ac:dyDescent="0.25">
      <c r="A5" s="75"/>
      <c r="B5" s="75"/>
      <c r="C5" s="50"/>
      <c r="D5" s="50"/>
      <c r="E5" s="166" t="s">
        <v>3</v>
      </c>
      <c r="F5" s="167"/>
      <c r="G5" s="168"/>
      <c r="H5" s="147"/>
      <c r="I5" s="172"/>
      <c r="J5" s="173"/>
      <c r="K5" s="172"/>
      <c r="L5" s="173"/>
      <c r="M5" s="151"/>
      <c r="N5" s="151"/>
      <c r="O5" s="172"/>
      <c r="P5" s="173"/>
      <c r="Q5" s="172"/>
      <c r="R5" s="183"/>
      <c r="S5" s="183"/>
      <c r="T5" s="183"/>
      <c r="U5" s="173"/>
      <c r="V5" s="184"/>
      <c r="W5" s="81"/>
      <c r="X5" s="75"/>
      <c r="Y5" s="75"/>
      <c r="Z5" s="96"/>
      <c r="AA5" s="96"/>
      <c r="AB5" s="75"/>
      <c r="AC5" s="75"/>
      <c r="AD5" s="75"/>
      <c r="AE5" s="75"/>
      <c r="AF5" s="75"/>
      <c r="AG5" s="75"/>
      <c r="AH5" s="75"/>
      <c r="AI5" s="75"/>
      <c r="AJ5" s="81"/>
      <c r="AK5" s="75"/>
      <c r="AL5" s="75"/>
    </row>
    <row r="6" spans="1:38" ht="30.75" customHeight="1" x14ac:dyDescent="0.25">
      <c r="A6" s="75"/>
      <c r="B6" s="75"/>
      <c r="C6" s="50"/>
      <c r="D6" s="50"/>
      <c r="E6" s="169"/>
      <c r="F6" s="170"/>
      <c r="G6" s="171"/>
      <c r="H6" s="150" t="s">
        <v>100</v>
      </c>
      <c r="I6" s="174" t="s">
        <v>101</v>
      </c>
      <c r="J6" s="175"/>
      <c r="K6" s="176" t="s">
        <v>102</v>
      </c>
      <c r="L6" s="177"/>
      <c r="M6" s="156" t="s">
        <v>103</v>
      </c>
      <c r="N6" s="156" t="s">
        <v>104</v>
      </c>
      <c r="O6" s="178" t="s">
        <v>105</v>
      </c>
      <c r="P6" s="179"/>
      <c r="Q6" s="180" t="s">
        <v>106</v>
      </c>
      <c r="R6" s="181"/>
      <c r="S6" s="181"/>
      <c r="T6" s="181"/>
      <c r="U6" s="182"/>
      <c r="V6" s="185"/>
      <c r="W6" s="81"/>
      <c r="X6" s="75"/>
      <c r="Y6" s="75"/>
      <c r="Z6" s="96"/>
      <c r="AA6" s="96"/>
      <c r="AB6" s="75"/>
      <c r="AC6" s="75"/>
      <c r="AD6" s="75"/>
      <c r="AE6" s="75"/>
      <c r="AF6" s="75"/>
      <c r="AG6" s="75"/>
      <c r="AH6" s="75"/>
      <c r="AI6" s="75"/>
      <c r="AJ6" s="81"/>
      <c r="AK6" s="75"/>
      <c r="AL6" s="75"/>
    </row>
    <row r="7" spans="1:38" s="1" customFormat="1" ht="87" customHeight="1" x14ac:dyDescent="0.25">
      <c r="A7" s="77"/>
      <c r="B7" s="138"/>
      <c r="C7" s="32" t="s">
        <v>10</v>
      </c>
      <c r="D7" s="33" t="s">
        <v>82</v>
      </c>
      <c r="E7" s="86" t="s">
        <v>11</v>
      </c>
      <c r="F7" s="34" t="s">
        <v>12</v>
      </c>
      <c r="G7" s="86" t="s">
        <v>13</v>
      </c>
      <c r="H7" s="146" t="s">
        <v>107</v>
      </c>
      <c r="I7" s="145" t="s">
        <v>108</v>
      </c>
      <c r="J7" s="145" t="s">
        <v>109</v>
      </c>
      <c r="K7" s="139" t="s">
        <v>110</v>
      </c>
      <c r="L7" s="139" t="s">
        <v>111</v>
      </c>
      <c r="M7" s="144" t="s">
        <v>112</v>
      </c>
      <c r="N7" s="144" t="s">
        <v>113</v>
      </c>
      <c r="O7" s="140" t="s">
        <v>114</v>
      </c>
      <c r="P7" s="141" t="s">
        <v>115</v>
      </c>
      <c r="Q7" s="142" t="s">
        <v>116</v>
      </c>
      <c r="R7" s="142" t="s">
        <v>117</v>
      </c>
      <c r="S7" s="142" t="s">
        <v>118</v>
      </c>
      <c r="T7" s="142" t="s">
        <v>119</v>
      </c>
      <c r="U7" s="142" t="s">
        <v>120</v>
      </c>
      <c r="V7" s="86" t="s">
        <v>15</v>
      </c>
      <c r="W7" s="77"/>
      <c r="X7" s="77"/>
      <c r="Y7" s="77"/>
      <c r="Z7" s="97"/>
      <c r="AA7" s="97"/>
      <c r="AB7" s="77"/>
      <c r="AC7" s="77"/>
      <c r="AD7" s="77"/>
      <c r="AE7" s="77"/>
      <c r="AF7" s="77"/>
      <c r="AG7" s="77"/>
      <c r="AH7" s="77"/>
      <c r="AI7" s="77"/>
      <c r="AJ7" s="94"/>
      <c r="AK7" s="77"/>
      <c r="AL7" s="77"/>
    </row>
    <row r="8" spans="1:38" x14ac:dyDescent="0.25">
      <c r="A8" s="75"/>
      <c r="B8" s="75"/>
      <c r="C8" s="35">
        <f>INDEX(Données!$F$2:$L$54,MATCH(F8,Données!$F$2:$F$54,0),2)</f>
        <v>43829</v>
      </c>
      <c r="D8" s="28" t="str">
        <f t="shared" ref="D8:D71" si="0">$E$4</f>
        <v>Veuillez inscrire votre nom</v>
      </c>
      <c r="E8" s="5">
        <f>Données!G2</f>
        <v>43829</v>
      </c>
      <c r="F8" s="10" t="str">
        <f>INDEX(Données!$F$2:$L$54,MATCH('Portail d''objectifs'!E8,Données!$G$2:$G$54,1),1)</f>
        <v>1</v>
      </c>
      <c r="G8" s="18" t="b">
        <f t="shared" ref="G8:G39" si="1">IF(AND($V$5=1),"PS-1",IF(AND($V$5=2),"PS-2",IF(AND($V$5=4),"PS-4",IF(AND($V$5=6),"S.O.",IF(AND($V$5=5),"")))))</f>
        <v>0</v>
      </c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9"/>
      <c r="W8" s="75"/>
      <c r="X8" s="75"/>
      <c r="Y8" s="75"/>
      <c r="Z8" s="96">
        <f>SUM(Tableau1[[#This Row],[A-1]:[G-5]])</f>
        <v>0</v>
      </c>
      <c r="AA8" s="96" t="str">
        <f>IF(AND(Z8&gt;0,Tableau1[[#This Row],[CDS]]=""),"Oui","Non")</f>
        <v>Non</v>
      </c>
      <c r="AB8" s="75"/>
      <c r="AC8" s="75"/>
      <c r="AD8" s="75"/>
      <c r="AE8" s="75"/>
      <c r="AF8" s="75"/>
      <c r="AG8" s="75"/>
      <c r="AH8" s="75"/>
      <c r="AI8" s="75"/>
      <c r="AJ8" s="81"/>
      <c r="AK8" s="75"/>
      <c r="AL8" s="75"/>
    </row>
    <row r="9" spans="1:38" x14ac:dyDescent="0.25">
      <c r="A9" s="75"/>
      <c r="B9" s="75"/>
      <c r="C9" s="35">
        <f>INDEX(Données!$F$2:$L$54,MATCH(F9,Données!$F$2:$F$54,0),2)</f>
        <v>43829</v>
      </c>
      <c r="D9" s="29" t="str">
        <f t="shared" si="0"/>
        <v>Veuillez inscrire votre nom</v>
      </c>
      <c r="E9" s="7">
        <f>Données!H2</f>
        <v>43830</v>
      </c>
      <c r="F9" s="6" t="str">
        <f>INDEX(Données!$F$2:$L$54,MATCH('Portail d''objectifs'!E9,Données!$G$2:$G$54,1),1)</f>
        <v>1</v>
      </c>
      <c r="G9" s="18" t="b">
        <f t="shared" si="1"/>
        <v>0</v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1"/>
      <c r="W9" s="75"/>
      <c r="X9" s="75"/>
      <c r="Y9" s="75"/>
      <c r="Z9" s="96">
        <f>SUM(Tableau1[[#This Row],[A-1]:[G-5]])</f>
        <v>0</v>
      </c>
      <c r="AA9" s="96" t="str">
        <f>IF(AND(Z9&gt;0,Tableau1[[#This Row],[CDS]]=""),"Oui","Non")</f>
        <v>Non</v>
      </c>
      <c r="AB9" s="75"/>
      <c r="AC9" s="75"/>
      <c r="AD9" s="75"/>
      <c r="AE9" s="75"/>
      <c r="AF9" s="75"/>
      <c r="AG9" s="75"/>
      <c r="AH9" s="75"/>
      <c r="AI9" s="75"/>
      <c r="AJ9" s="81"/>
      <c r="AK9" s="75"/>
      <c r="AL9" s="75"/>
    </row>
    <row r="10" spans="1:38" x14ac:dyDescent="0.25">
      <c r="A10" s="75"/>
      <c r="B10" s="75"/>
      <c r="C10" s="35">
        <f>INDEX(Données!$F$2:$L$54,MATCH(F10,Données!$F$2:$F$54,0),2)</f>
        <v>43829</v>
      </c>
      <c r="D10" s="29" t="str">
        <f t="shared" si="0"/>
        <v>Veuillez inscrire votre nom</v>
      </c>
      <c r="E10" s="7">
        <f>Données!I2</f>
        <v>43831</v>
      </c>
      <c r="F10" s="6" t="str">
        <f>INDEX(Données!$F$2:$L$54,MATCH('Portail d''objectifs'!E10,Données!$G$2:$G$54,1),1)</f>
        <v>1</v>
      </c>
      <c r="G10" s="18" t="b">
        <f t="shared" si="1"/>
        <v>0</v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1"/>
      <c r="W10" s="75"/>
      <c r="X10" s="75"/>
      <c r="Y10" s="75"/>
      <c r="Z10" s="96">
        <f>SUM(Tableau1[[#This Row],[A-1]:[G-5]])</f>
        <v>0</v>
      </c>
      <c r="AA10" s="96" t="str">
        <f>IF(AND(Z10&gt;0,Tableau1[[#This Row],[CDS]]=""),"Oui","Non")</f>
        <v>Non</v>
      </c>
      <c r="AB10" s="75"/>
      <c r="AC10" s="75"/>
      <c r="AD10" s="75"/>
      <c r="AE10" s="75"/>
      <c r="AF10" s="75"/>
      <c r="AG10" s="75"/>
      <c r="AH10" s="75"/>
      <c r="AI10" s="75"/>
      <c r="AJ10" s="81"/>
      <c r="AK10" s="75"/>
      <c r="AL10" s="75"/>
    </row>
    <row r="11" spans="1:38" x14ac:dyDescent="0.25">
      <c r="A11" s="75"/>
      <c r="B11" s="75"/>
      <c r="C11" s="35">
        <f>INDEX(Données!$F$2:$L$54,MATCH(F11,Données!$F$2:$F$54,0),2)</f>
        <v>43829</v>
      </c>
      <c r="D11" s="29" t="str">
        <f t="shared" si="0"/>
        <v>Veuillez inscrire votre nom</v>
      </c>
      <c r="E11" s="7">
        <f>Données!J2</f>
        <v>43832</v>
      </c>
      <c r="F11" s="6" t="str">
        <f>INDEX(Données!$F$2:$L$54,MATCH('Portail d''objectifs'!E11,Données!$G$2:$G$54,1),1)</f>
        <v>1</v>
      </c>
      <c r="G11" s="18" t="b">
        <f t="shared" si="1"/>
        <v>0</v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1"/>
      <c r="W11" s="75"/>
      <c r="X11" s="75"/>
      <c r="Y11" s="75"/>
      <c r="Z11" s="96">
        <f>SUM(Tableau1[[#This Row],[A-1]:[G-5]])</f>
        <v>0</v>
      </c>
      <c r="AA11" s="96" t="str">
        <f>IF(AND(Z11&gt;0,Tableau1[[#This Row],[CDS]]=""),"Oui","Non")</f>
        <v>Non</v>
      </c>
      <c r="AB11" s="75"/>
      <c r="AC11" s="75"/>
      <c r="AD11" s="75"/>
      <c r="AE11" s="75"/>
      <c r="AF11" s="75"/>
      <c r="AG11" s="75"/>
      <c r="AH11" s="75"/>
      <c r="AI11" s="75"/>
      <c r="AJ11" s="81"/>
      <c r="AK11" s="75"/>
      <c r="AL11" s="75"/>
    </row>
    <row r="12" spans="1:38" x14ac:dyDescent="0.25">
      <c r="A12" s="75"/>
      <c r="B12" s="75"/>
      <c r="C12" s="35">
        <f>INDEX(Données!$F$2:$L$54,MATCH(F12,Données!$F$2:$F$54,0),2)</f>
        <v>43829</v>
      </c>
      <c r="D12" s="29" t="str">
        <f t="shared" si="0"/>
        <v>Veuillez inscrire votre nom</v>
      </c>
      <c r="E12" s="7">
        <f>Données!K2</f>
        <v>43833</v>
      </c>
      <c r="F12" s="6" t="str">
        <f>INDEX(Données!$F$2:$L$54,MATCH('Portail d''objectifs'!E12,Données!$G$2:$G$54,1),1)</f>
        <v>1</v>
      </c>
      <c r="G12" s="18" t="b">
        <f t="shared" si="1"/>
        <v>0</v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1"/>
      <c r="W12" s="75"/>
      <c r="X12" s="75"/>
      <c r="Y12" s="75"/>
      <c r="Z12" s="96">
        <f>SUM(Tableau1[[#This Row],[A-1]:[G-5]])</f>
        <v>0</v>
      </c>
      <c r="AA12" s="96" t="str">
        <f>IF(AND(Z12&gt;0,Tableau1[[#This Row],[CDS]]=""),"Oui","Non")</f>
        <v>Non</v>
      </c>
      <c r="AB12" s="75"/>
      <c r="AC12" s="75"/>
      <c r="AD12" s="75"/>
      <c r="AE12" s="75"/>
      <c r="AF12" s="75"/>
      <c r="AG12" s="75"/>
      <c r="AH12" s="75"/>
      <c r="AI12" s="75"/>
      <c r="AJ12" s="81"/>
      <c r="AK12" s="75"/>
      <c r="AL12" s="75"/>
    </row>
    <row r="13" spans="1:38" ht="15.75" thickBot="1" x14ac:dyDescent="0.3">
      <c r="A13" s="75"/>
      <c r="B13" s="75"/>
      <c r="C13" s="35">
        <f>INDEX(Données!$F$2:$L$54,MATCH(F13,Données!$F$2:$F$54,0),2)</f>
        <v>43829</v>
      </c>
      <c r="D13" s="29" t="str">
        <f t="shared" si="0"/>
        <v>Veuillez inscrire votre nom</v>
      </c>
      <c r="E13" s="7">
        <f>Données!L2</f>
        <v>43834</v>
      </c>
      <c r="F13" s="6" t="str">
        <f>INDEX(Données!$F$2:$L$54,MATCH('Portail d''objectifs'!E13,Données!$G$2:$G$54,1),1)</f>
        <v>1</v>
      </c>
      <c r="G13" s="18" t="b">
        <f t="shared" si="1"/>
        <v>0</v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1"/>
      <c r="W13" s="75"/>
      <c r="X13" s="75"/>
      <c r="Y13" s="75"/>
      <c r="Z13" s="96">
        <f>SUM(Tableau1[[#This Row],[A-1]:[G-5]])</f>
        <v>0</v>
      </c>
      <c r="AA13" s="96" t="str">
        <f>IF(AND(Z13&gt;0,Tableau1[[#This Row],[CDS]]=""),"Oui","Non")</f>
        <v>Non</v>
      </c>
      <c r="AB13" s="75"/>
      <c r="AC13" s="75"/>
      <c r="AD13" s="75"/>
      <c r="AE13" s="75"/>
      <c r="AF13" s="75"/>
      <c r="AG13" s="75"/>
      <c r="AH13" s="75"/>
      <c r="AI13" s="75"/>
      <c r="AJ13" s="81"/>
      <c r="AK13" s="75"/>
      <c r="AL13" s="75"/>
    </row>
    <row r="14" spans="1:38" hidden="1" x14ac:dyDescent="0.25">
      <c r="A14" s="75"/>
      <c r="B14" s="75"/>
      <c r="C14" s="35">
        <f>INDEX(Données!$F$2:$L$54,MATCH(F14,Données!$F$2:$F$54,0),2)</f>
        <v>43836</v>
      </c>
      <c r="D14" s="29" t="str">
        <f t="shared" si="0"/>
        <v>Veuillez inscrire votre nom</v>
      </c>
      <c r="E14" s="7">
        <f>Données!G3</f>
        <v>43836</v>
      </c>
      <c r="F14" s="6" t="str">
        <f>INDEX(Données!$F$2:$L$54,MATCH('Portail d''objectifs'!E14,Données!$G$2:$G$54,1),1)</f>
        <v>2</v>
      </c>
      <c r="G14" s="18" t="b">
        <f t="shared" si="1"/>
        <v>0</v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1"/>
      <c r="W14" s="75"/>
      <c r="X14" s="75"/>
      <c r="Y14" s="75"/>
      <c r="Z14" s="96">
        <f>SUM(Tableau1[[#This Row],[A-1]:[G-5]])</f>
        <v>0</v>
      </c>
      <c r="AA14" s="96" t="str">
        <f>IF(AND(Z14&gt;0,Tableau1[[#This Row],[CDS]]=""),"Oui","Non")</f>
        <v>Non</v>
      </c>
      <c r="AB14" s="75"/>
      <c r="AC14" s="75"/>
      <c r="AD14" s="75"/>
      <c r="AE14" s="75"/>
      <c r="AF14" s="75"/>
      <c r="AG14" s="75"/>
      <c r="AH14" s="75"/>
      <c r="AI14" s="75"/>
      <c r="AJ14" s="81"/>
      <c r="AK14" s="75"/>
      <c r="AL14" s="75"/>
    </row>
    <row r="15" spans="1:38" hidden="1" x14ac:dyDescent="0.25">
      <c r="A15" s="75"/>
      <c r="B15" s="75"/>
      <c r="C15" s="35">
        <f>INDEX(Données!$F$2:$L$54,MATCH(F15,Données!$F$2:$F$54,0),2)</f>
        <v>43836</v>
      </c>
      <c r="D15" s="29" t="str">
        <f t="shared" si="0"/>
        <v>Veuillez inscrire votre nom</v>
      </c>
      <c r="E15" s="7">
        <f>Données!H3</f>
        <v>43837</v>
      </c>
      <c r="F15" s="6" t="str">
        <f>INDEX(Données!$F$2:$L$54,MATCH('Portail d''objectifs'!E15,Données!$G$2:$G$54,1),1)</f>
        <v>2</v>
      </c>
      <c r="G15" s="18" t="b">
        <f t="shared" si="1"/>
        <v>0</v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1"/>
      <c r="W15" s="75"/>
      <c r="X15" s="75"/>
      <c r="Y15" s="75"/>
      <c r="Z15" s="96">
        <f>SUM(Tableau1[[#This Row],[A-1]:[G-5]])</f>
        <v>0</v>
      </c>
      <c r="AA15" s="96" t="str">
        <f>IF(AND(Z15&gt;0,Tableau1[[#This Row],[CDS]]=""),"Oui","Non")</f>
        <v>Non</v>
      </c>
      <c r="AB15" s="75"/>
      <c r="AC15" s="75"/>
      <c r="AD15" s="75"/>
      <c r="AE15" s="75"/>
      <c r="AF15" s="75"/>
      <c r="AG15" s="75"/>
      <c r="AH15" s="75"/>
      <c r="AI15" s="75"/>
      <c r="AJ15" s="81"/>
      <c r="AK15" s="75"/>
      <c r="AL15" s="75"/>
    </row>
    <row r="16" spans="1:38" hidden="1" x14ac:dyDescent="0.25">
      <c r="A16" s="75"/>
      <c r="B16" s="75"/>
      <c r="C16" s="35">
        <f>INDEX(Données!$F$2:$L$54,MATCH(F16,Données!$F$2:$F$54,0),2)</f>
        <v>43836</v>
      </c>
      <c r="D16" s="29" t="str">
        <f t="shared" si="0"/>
        <v>Veuillez inscrire votre nom</v>
      </c>
      <c r="E16" s="7">
        <f>Données!I3</f>
        <v>43838</v>
      </c>
      <c r="F16" s="6" t="str">
        <f>INDEX(Données!$F$2:$L$54,MATCH('Portail d''objectifs'!E16,Données!$G$2:$G$54,1),1)</f>
        <v>2</v>
      </c>
      <c r="G16" s="18" t="b">
        <f t="shared" si="1"/>
        <v>0</v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1"/>
      <c r="W16" s="75"/>
      <c r="X16" s="75"/>
      <c r="Y16" s="75"/>
      <c r="Z16" s="96">
        <f>SUM(Tableau1[[#This Row],[A-1]:[G-5]])</f>
        <v>0</v>
      </c>
      <c r="AA16" s="96" t="str">
        <f>IF(AND(Z16&gt;0,Tableau1[[#This Row],[CDS]]=""),"Oui","Non")</f>
        <v>Non</v>
      </c>
      <c r="AB16" s="75"/>
      <c r="AC16" s="75"/>
      <c r="AD16" s="75"/>
      <c r="AE16" s="75"/>
      <c r="AF16" s="75"/>
      <c r="AG16" s="75"/>
      <c r="AH16" s="75"/>
      <c r="AI16" s="75"/>
      <c r="AJ16" s="81"/>
      <c r="AK16" s="75"/>
      <c r="AL16" s="75"/>
    </row>
    <row r="17" spans="1:38" hidden="1" x14ac:dyDescent="0.25">
      <c r="A17" s="75"/>
      <c r="B17" s="75"/>
      <c r="C17" s="35">
        <f>INDEX(Données!$F$2:$L$54,MATCH(F17,Données!$F$2:$F$54,0),2)</f>
        <v>43836</v>
      </c>
      <c r="D17" s="29" t="str">
        <f t="shared" si="0"/>
        <v>Veuillez inscrire votre nom</v>
      </c>
      <c r="E17" s="7">
        <f>Données!J3</f>
        <v>43839</v>
      </c>
      <c r="F17" s="6" t="str">
        <f>INDEX(Données!$F$2:$L$54,MATCH('Portail d''objectifs'!E17,Données!$G$2:$G$54,1),1)</f>
        <v>2</v>
      </c>
      <c r="G17" s="18" t="b">
        <f t="shared" si="1"/>
        <v>0</v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1"/>
      <c r="W17" s="75"/>
      <c r="X17" s="75"/>
      <c r="Y17" s="75"/>
      <c r="Z17" s="96">
        <f>SUM(Tableau1[[#This Row],[A-1]:[G-5]])</f>
        <v>0</v>
      </c>
      <c r="AA17" s="96" t="str">
        <f>IF(AND(Z17&gt;0,Tableau1[[#This Row],[CDS]]=""),"Oui","Non")</f>
        <v>Non</v>
      </c>
      <c r="AB17" s="75"/>
      <c r="AC17" s="75"/>
      <c r="AD17" s="75"/>
      <c r="AE17" s="75"/>
      <c r="AF17" s="75"/>
      <c r="AG17" s="75"/>
      <c r="AH17" s="75"/>
      <c r="AI17" s="75"/>
      <c r="AJ17" s="81"/>
      <c r="AK17" s="75"/>
      <c r="AL17" s="75"/>
    </row>
    <row r="18" spans="1:38" hidden="1" x14ac:dyDescent="0.25">
      <c r="A18" s="75"/>
      <c r="B18" s="75"/>
      <c r="C18" s="35">
        <f>INDEX(Données!$F$2:$L$54,MATCH(F18,Données!$F$2:$F$54,0),2)</f>
        <v>43836</v>
      </c>
      <c r="D18" s="29" t="str">
        <f t="shared" si="0"/>
        <v>Veuillez inscrire votre nom</v>
      </c>
      <c r="E18" s="7">
        <f>Données!K3</f>
        <v>43840</v>
      </c>
      <c r="F18" s="6" t="str">
        <f>INDEX(Données!$F$2:$L$54,MATCH('Portail d''objectifs'!E18,Données!$G$2:$G$54,1),1)</f>
        <v>2</v>
      </c>
      <c r="G18" s="18" t="b">
        <f t="shared" si="1"/>
        <v>0</v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1"/>
      <c r="W18" s="75"/>
      <c r="X18" s="75"/>
      <c r="Y18" s="75"/>
      <c r="Z18" s="96">
        <f>SUM(Tableau1[[#This Row],[A-1]:[G-5]])</f>
        <v>0</v>
      </c>
      <c r="AA18" s="96" t="str">
        <f>IF(AND(Z18&gt;0,Tableau1[[#This Row],[CDS]]=""),"Oui","Non")</f>
        <v>Non</v>
      </c>
      <c r="AB18" s="75"/>
      <c r="AC18" s="75"/>
      <c r="AD18" s="75"/>
      <c r="AE18" s="75"/>
      <c r="AF18" s="75"/>
      <c r="AG18" s="75"/>
      <c r="AH18" s="75"/>
      <c r="AI18" s="75"/>
      <c r="AJ18" s="81"/>
      <c r="AK18" s="75"/>
      <c r="AL18" s="75"/>
    </row>
    <row r="19" spans="1:38" hidden="1" x14ac:dyDescent="0.25">
      <c r="A19" s="75"/>
      <c r="B19" s="75"/>
      <c r="C19" s="35">
        <f>INDEX(Données!$F$2:$L$54,MATCH(F19,Données!$F$2:$F$54,0),2)</f>
        <v>43836</v>
      </c>
      <c r="D19" s="29" t="str">
        <f t="shared" si="0"/>
        <v>Veuillez inscrire votre nom</v>
      </c>
      <c r="E19" s="7">
        <f>Données!L3</f>
        <v>43841</v>
      </c>
      <c r="F19" s="6" t="str">
        <f>INDEX(Données!$F$2:$L$54,MATCH('Portail d''objectifs'!E19,Données!$G$2:$G$54,1),1)</f>
        <v>2</v>
      </c>
      <c r="G19" s="18" t="b">
        <f t="shared" si="1"/>
        <v>0</v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1"/>
      <c r="W19" s="75"/>
      <c r="X19" s="75"/>
      <c r="Y19" s="75"/>
      <c r="Z19" s="96">
        <f>SUM(Tableau1[[#This Row],[A-1]:[G-5]])</f>
        <v>0</v>
      </c>
      <c r="AA19" s="96" t="str">
        <f>IF(AND(Z19&gt;0,Tableau1[[#This Row],[CDS]]=""),"Oui","Non")</f>
        <v>Non</v>
      </c>
      <c r="AB19" s="75"/>
      <c r="AC19" s="75"/>
      <c r="AD19" s="75"/>
      <c r="AE19" s="75"/>
      <c r="AF19" s="75"/>
      <c r="AG19" s="75"/>
      <c r="AH19" s="75"/>
      <c r="AI19" s="75"/>
      <c r="AJ19" s="81"/>
      <c r="AK19" s="75"/>
      <c r="AL19" s="75"/>
    </row>
    <row r="20" spans="1:38" hidden="1" x14ac:dyDescent="0.25">
      <c r="A20" s="75"/>
      <c r="B20" s="75"/>
      <c r="C20" s="35">
        <f>INDEX(Données!$F$2:$L$54,MATCH(F20,Données!$F$2:$F$54,0),2)</f>
        <v>43843</v>
      </c>
      <c r="D20" s="29" t="str">
        <f t="shared" si="0"/>
        <v>Veuillez inscrire votre nom</v>
      </c>
      <c r="E20" s="7">
        <f>Données!G4</f>
        <v>43843</v>
      </c>
      <c r="F20" s="6" t="str">
        <f>INDEX(Données!$F$2:$L$54,MATCH('Portail d''objectifs'!E20,Données!$G$2:$G$54,1),1)</f>
        <v>3</v>
      </c>
      <c r="G20" s="18" t="b">
        <f t="shared" si="1"/>
        <v>0</v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1"/>
      <c r="W20" s="75"/>
      <c r="X20" s="75"/>
      <c r="Y20" s="75"/>
      <c r="Z20" s="96">
        <f>SUM(Tableau1[[#This Row],[A-1]:[G-5]])</f>
        <v>0</v>
      </c>
      <c r="AA20" s="96" t="str">
        <f>IF(AND(Z20&gt;0,Tableau1[[#This Row],[CDS]]=""),"Oui","Non")</f>
        <v>Non</v>
      </c>
      <c r="AB20" s="75"/>
      <c r="AC20" s="75"/>
      <c r="AD20" s="75"/>
      <c r="AE20" s="75"/>
      <c r="AF20" s="75"/>
      <c r="AG20" s="75"/>
      <c r="AH20" s="75"/>
      <c r="AI20" s="75"/>
      <c r="AJ20" s="81"/>
      <c r="AK20" s="75"/>
      <c r="AL20" s="75"/>
    </row>
    <row r="21" spans="1:38" hidden="1" x14ac:dyDescent="0.25">
      <c r="A21" s="75"/>
      <c r="B21" s="75"/>
      <c r="C21" s="35">
        <f>INDEX(Données!$F$2:$L$54,MATCH(F21,Données!$F$2:$F$54,0),2)</f>
        <v>43843</v>
      </c>
      <c r="D21" s="29" t="str">
        <f t="shared" si="0"/>
        <v>Veuillez inscrire votre nom</v>
      </c>
      <c r="E21" s="7">
        <f>Données!H4</f>
        <v>43844</v>
      </c>
      <c r="F21" s="6" t="str">
        <f>INDEX(Données!$F$2:$L$54,MATCH('Portail d''objectifs'!E21,Données!$G$2:$G$54,1),1)</f>
        <v>3</v>
      </c>
      <c r="G21" s="18" t="b">
        <f t="shared" si="1"/>
        <v>0</v>
      </c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1"/>
      <c r="W21" s="75"/>
      <c r="X21" s="75"/>
      <c r="Y21" s="75"/>
      <c r="Z21" s="96">
        <f>SUM(Tableau1[[#This Row],[A-1]:[G-5]])</f>
        <v>0</v>
      </c>
      <c r="AA21" s="96" t="str">
        <f>IF(AND(Z21&gt;0,Tableau1[[#This Row],[CDS]]=""),"Oui","Non")</f>
        <v>Non</v>
      </c>
      <c r="AB21" s="75"/>
      <c r="AC21" s="75"/>
      <c r="AD21" s="75"/>
      <c r="AE21" s="75"/>
      <c r="AF21" s="75"/>
      <c r="AG21" s="75"/>
      <c r="AH21" s="75"/>
      <c r="AI21" s="75"/>
      <c r="AJ21" s="81"/>
      <c r="AK21" s="75"/>
      <c r="AL21" s="75"/>
    </row>
    <row r="22" spans="1:38" hidden="1" x14ac:dyDescent="0.25">
      <c r="A22" s="75"/>
      <c r="B22" s="75"/>
      <c r="C22" s="35">
        <f>INDEX(Données!$F$2:$L$54,MATCH(F22,Données!$F$2:$F$54,0),2)</f>
        <v>43843</v>
      </c>
      <c r="D22" s="29" t="str">
        <f t="shared" si="0"/>
        <v>Veuillez inscrire votre nom</v>
      </c>
      <c r="E22" s="7">
        <f>Données!I4</f>
        <v>43845</v>
      </c>
      <c r="F22" s="6" t="str">
        <f>INDEX(Données!$F$2:$L$54,MATCH('Portail d''objectifs'!E22,Données!$G$2:$G$54,1),1)</f>
        <v>3</v>
      </c>
      <c r="G22" s="18" t="b">
        <f t="shared" si="1"/>
        <v>0</v>
      </c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1"/>
      <c r="W22" s="75"/>
      <c r="X22" s="75"/>
      <c r="Y22" s="75"/>
      <c r="Z22" s="96">
        <f>SUM(Tableau1[[#This Row],[A-1]:[G-5]])</f>
        <v>0</v>
      </c>
      <c r="AA22" s="96" t="str">
        <f>IF(AND(Z22&gt;0,Tableau1[[#This Row],[CDS]]=""),"Oui","Non")</f>
        <v>Non</v>
      </c>
      <c r="AB22" s="75"/>
      <c r="AC22" s="75"/>
      <c r="AD22" s="75"/>
      <c r="AE22" s="75"/>
      <c r="AF22" s="75"/>
      <c r="AG22" s="75"/>
      <c r="AH22" s="75"/>
      <c r="AI22" s="75"/>
      <c r="AJ22" s="81"/>
      <c r="AK22" s="75"/>
      <c r="AL22" s="75"/>
    </row>
    <row r="23" spans="1:38" hidden="1" x14ac:dyDescent="0.25">
      <c r="A23" s="75"/>
      <c r="B23" s="75"/>
      <c r="C23" s="35">
        <f>INDEX(Données!$F$2:$L$54,MATCH(F23,Données!$F$2:$F$54,0),2)</f>
        <v>43843</v>
      </c>
      <c r="D23" s="29" t="str">
        <f t="shared" si="0"/>
        <v>Veuillez inscrire votre nom</v>
      </c>
      <c r="E23" s="7">
        <f>Données!J4</f>
        <v>43846</v>
      </c>
      <c r="F23" s="6" t="str">
        <f>INDEX(Données!$F$2:$L$54,MATCH('Portail d''objectifs'!E23,Données!$G$2:$G$54,1),1)</f>
        <v>3</v>
      </c>
      <c r="G23" s="18" t="b">
        <f t="shared" si="1"/>
        <v>0</v>
      </c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1"/>
      <c r="W23" s="75"/>
      <c r="X23" s="75"/>
      <c r="Y23" s="75"/>
      <c r="Z23" s="96">
        <f>SUM(Tableau1[[#This Row],[A-1]:[G-5]])</f>
        <v>0</v>
      </c>
      <c r="AA23" s="96" t="str">
        <f>IF(AND(Z23&gt;0,Tableau1[[#This Row],[CDS]]=""),"Oui","Non")</f>
        <v>Non</v>
      </c>
      <c r="AB23" s="75"/>
      <c r="AC23" s="75"/>
      <c r="AD23" s="75"/>
      <c r="AE23" s="75"/>
      <c r="AF23" s="75"/>
      <c r="AG23" s="75"/>
      <c r="AH23" s="75"/>
      <c r="AI23" s="75"/>
      <c r="AJ23" s="81"/>
      <c r="AK23" s="75"/>
      <c r="AL23" s="75"/>
    </row>
    <row r="24" spans="1:38" hidden="1" x14ac:dyDescent="0.25">
      <c r="A24" s="75"/>
      <c r="B24" s="75"/>
      <c r="C24" s="35">
        <f>INDEX(Données!$F$2:$L$54,MATCH(F24,Données!$F$2:$F$54,0),2)</f>
        <v>43843</v>
      </c>
      <c r="D24" s="29" t="str">
        <f t="shared" si="0"/>
        <v>Veuillez inscrire votre nom</v>
      </c>
      <c r="E24" s="7">
        <f>Données!K4</f>
        <v>43847</v>
      </c>
      <c r="F24" s="6" t="str">
        <f>INDEX(Données!$F$2:$L$54,MATCH('Portail d''objectifs'!E24,Données!$G$2:$G$54,1),1)</f>
        <v>3</v>
      </c>
      <c r="G24" s="18" t="b">
        <f t="shared" si="1"/>
        <v>0</v>
      </c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1"/>
      <c r="W24" s="75"/>
      <c r="X24" s="75"/>
      <c r="Y24" s="75"/>
      <c r="Z24" s="96">
        <f>SUM(Tableau1[[#This Row],[A-1]:[G-5]])</f>
        <v>0</v>
      </c>
      <c r="AA24" s="96" t="str">
        <f>IF(AND(Z24&gt;0,Tableau1[[#This Row],[CDS]]=""),"Oui","Non")</f>
        <v>Non</v>
      </c>
      <c r="AB24" s="75"/>
      <c r="AC24" s="75"/>
      <c r="AD24" s="75"/>
      <c r="AE24" s="75"/>
      <c r="AF24" s="75"/>
      <c r="AG24" s="75"/>
      <c r="AH24" s="75"/>
      <c r="AI24" s="75"/>
      <c r="AJ24" s="81"/>
      <c r="AK24" s="75"/>
      <c r="AL24" s="75"/>
    </row>
    <row r="25" spans="1:38" ht="15.75" hidden="1" thickBot="1" x14ac:dyDescent="0.3">
      <c r="A25" s="75"/>
      <c r="B25" s="75"/>
      <c r="C25" s="35">
        <f>INDEX(Données!$F$2:$L$54,MATCH(F25,Données!$F$2:$F$54,0),2)</f>
        <v>43843</v>
      </c>
      <c r="D25" s="29" t="str">
        <f t="shared" si="0"/>
        <v>Veuillez inscrire votre nom</v>
      </c>
      <c r="E25" s="7">
        <f>Données!L4</f>
        <v>43848</v>
      </c>
      <c r="F25" s="6" t="str">
        <f>INDEX(Données!$F$2:$L$54,MATCH('Portail d''objectifs'!E25,Données!$G$2:$G$54,1),1)</f>
        <v>3</v>
      </c>
      <c r="G25" s="18" t="b">
        <f t="shared" si="1"/>
        <v>0</v>
      </c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1"/>
      <c r="W25" s="75"/>
      <c r="X25" s="75"/>
      <c r="Y25" s="75"/>
      <c r="Z25" s="96">
        <f>SUM(Tableau1[[#This Row],[A-1]:[G-5]])</f>
        <v>0</v>
      </c>
      <c r="AA25" s="96" t="str">
        <f>IF(AND(Z25&gt;0,Tableau1[[#This Row],[CDS]]=""),"Oui","Non")</f>
        <v>Non</v>
      </c>
      <c r="AB25" s="75"/>
      <c r="AC25" s="75"/>
      <c r="AD25" s="75"/>
      <c r="AE25" s="75"/>
      <c r="AF25" s="75"/>
      <c r="AG25" s="75"/>
      <c r="AH25" s="75"/>
      <c r="AI25" s="75"/>
      <c r="AJ25" s="81"/>
      <c r="AK25" s="75"/>
      <c r="AL25" s="75"/>
    </row>
    <row r="26" spans="1:38" hidden="1" x14ac:dyDescent="0.25">
      <c r="A26" s="75"/>
      <c r="B26" s="75"/>
      <c r="C26" s="35">
        <f>INDEX(Données!$F$2:$L$54,MATCH(F26,Données!$F$2:$F$54,0),2)</f>
        <v>43850</v>
      </c>
      <c r="D26" s="29" t="str">
        <f t="shared" si="0"/>
        <v>Veuillez inscrire votre nom</v>
      </c>
      <c r="E26" s="7">
        <f>Données!G5</f>
        <v>43850</v>
      </c>
      <c r="F26" s="6" t="str">
        <f>INDEX(Données!$F$2:$L$54,MATCH('Portail d''objectifs'!E26,Données!$G$2:$G$54,1),1)</f>
        <v>4</v>
      </c>
      <c r="G26" s="18" t="b">
        <f t="shared" si="1"/>
        <v>0</v>
      </c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1"/>
      <c r="W26" s="75"/>
      <c r="X26" s="75"/>
      <c r="Y26" s="75"/>
      <c r="Z26" s="96">
        <f>SUM(Tableau1[[#This Row],[A-1]:[G-5]])</f>
        <v>0</v>
      </c>
      <c r="AA26" s="96" t="str">
        <f>IF(AND(Z26&gt;0,Tableau1[[#This Row],[CDS]]=""),"Oui","Non")</f>
        <v>Non</v>
      </c>
      <c r="AB26" s="75"/>
      <c r="AC26" s="75"/>
      <c r="AD26" s="75"/>
      <c r="AE26" s="75"/>
      <c r="AF26" s="75"/>
      <c r="AG26" s="75"/>
      <c r="AH26" s="75"/>
      <c r="AI26" s="75"/>
      <c r="AJ26" s="81"/>
      <c r="AK26" s="75"/>
      <c r="AL26" s="75"/>
    </row>
    <row r="27" spans="1:38" hidden="1" x14ac:dyDescent="0.25">
      <c r="A27" s="75"/>
      <c r="B27" s="75"/>
      <c r="C27" s="35">
        <f>INDEX(Données!$F$2:$L$54,MATCH(F27,Données!$F$2:$F$54,0),2)</f>
        <v>43850</v>
      </c>
      <c r="D27" s="29" t="str">
        <f t="shared" si="0"/>
        <v>Veuillez inscrire votre nom</v>
      </c>
      <c r="E27" s="7">
        <f>Données!H5</f>
        <v>43851</v>
      </c>
      <c r="F27" s="6" t="str">
        <f>INDEX(Données!$F$2:$L$54,MATCH('Portail d''objectifs'!E27,Données!$G$2:$G$54,1),1)</f>
        <v>4</v>
      </c>
      <c r="G27" s="18" t="b">
        <f t="shared" si="1"/>
        <v>0</v>
      </c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1"/>
      <c r="W27" s="75"/>
      <c r="X27" s="75"/>
      <c r="Y27" s="75"/>
      <c r="Z27" s="96">
        <f>SUM(Tableau1[[#This Row],[A-1]:[G-5]])</f>
        <v>0</v>
      </c>
      <c r="AA27" s="96" t="str">
        <f>IF(AND(Z27&gt;0,Tableau1[[#This Row],[CDS]]=""),"Oui","Non")</f>
        <v>Non</v>
      </c>
      <c r="AB27" s="75"/>
      <c r="AC27" s="75"/>
      <c r="AD27" s="75"/>
      <c r="AE27" s="75"/>
      <c r="AF27" s="75"/>
      <c r="AG27" s="75"/>
      <c r="AH27" s="75"/>
      <c r="AI27" s="75"/>
      <c r="AJ27" s="81"/>
      <c r="AK27" s="75"/>
      <c r="AL27" s="75"/>
    </row>
    <row r="28" spans="1:38" hidden="1" x14ac:dyDescent="0.25">
      <c r="A28" s="75"/>
      <c r="B28" s="75"/>
      <c r="C28" s="35">
        <f>INDEX(Données!$F$2:$L$54,MATCH(F28,Données!$F$2:$F$54,0),2)</f>
        <v>43850</v>
      </c>
      <c r="D28" s="29" t="str">
        <f t="shared" si="0"/>
        <v>Veuillez inscrire votre nom</v>
      </c>
      <c r="E28" s="7">
        <f>Données!I5</f>
        <v>43852</v>
      </c>
      <c r="F28" s="6" t="str">
        <f>INDEX(Données!$F$2:$L$54,MATCH('Portail d''objectifs'!E28,Données!$G$2:$G$54,1),1)</f>
        <v>4</v>
      </c>
      <c r="G28" s="18" t="b">
        <f t="shared" si="1"/>
        <v>0</v>
      </c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1"/>
      <c r="W28" s="75"/>
      <c r="X28" s="75"/>
      <c r="Y28" s="75"/>
      <c r="Z28" s="96">
        <f>SUM(Tableau1[[#This Row],[A-1]:[G-5]])</f>
        <v>0</v>
      </c>
      <c r="AA28" s="96" t="str">
        <f>IF(AND(Z28&gt;0,Tableau1[[#This Row],[CDS]]=""),"Oui","Non")</f>
        <v>Non</v>
      </c>
      <c r="AB28" s="75"/>
      <c r="AC28" s="75"/>
      <c r="AD28" s="75"/>
      <c r="AE28" s="75"/>
      <c r="AF28" s="75"/>
      <c r="AG28" s="75"/>
      <c r="AH28" s="75"/>
      <c r="AI28" s="75"/>
      <c r="AJ28" s="81"/>
      <c r="AK28" s="75"/>
      <c r="AL28" s="75"/>
    </row>
    <row r="29" spans="1:38" hidden="1" x14ac:dyDescent="0.25">
      <c r="A29" s="75"/>
      <c r="B29" s="75"/>
      <c r="C29" s="35">
        <f>INDEX(Données!$F$2:$L$54,MATCH(F29,Données!$F$2:$F$54,0),2)</f>
        <v>43850</v>
      </c>
      <c r="D29" s="29" t="str">
        <f t="shared" si="0"/>
        <v>Veuillez inscrire votre nom</v>
      </c>
      <c r="E29" s="7">
        <f>Données!J5</f>
        <v>43853</v>
      </c>
      <c r="F29" s="6" t="str">
        <f>INDEX(Données!$F$2:$L$54,MATCH('Portail d''objectifs'!E29,Données!$G$2:$G$54,1),1)</f>
        <v>4</v>
      </c>
      <c r="G29" s="18" t="b">
        <f t="shared" si="1"/>
        <v>0</v>
      </c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1"/>
      <c r="W29" s="75"/>
      <c r="X29" s="75"/>
      <c r="Y29" s="75"/>
      <c r="Z29" s="96">
        <f>SUM(Tableau1[[#This Row],[A-1]:[G-5]])</f>
        <v>0</v>
      </c>
      <c r="AA29" s="96" t="str">
        <f>IF(AND(Z29&gt;0,Tableau1[[#This Row],[CDS]]=""),"Oui","Non")</f>
        <v>Non</v>
      </c>
      <c r="AB29" s="75"/>
      <c r="AC29" s="75"/>
      <c r="AD29" s="75"/>
      <c r="AE29" s="75"/>
      <c r="AF29" s="75"/>
      <c r="AG29" s="75"/>
      <c r="AH29" s="75"/>
      <c r="AI29" s="75"/>
      <c r="AJ29" s="81"/>
      <c r="AK29" s="75"/>
      <c r="AL29" s="75"/>
    </row>
    <row r="30" spans="1:38" hidden="1" x14ac:dyDescent="0.25">
      <c r="A30" s="75"/>
      <c r="B30" s="75"/>
      <c r="C30" s="35">
        <f>INDEX(Données!$F$2:$L$54,MATCH(F30,Données!$F$2:$F$54,0),2)</f>
        <v>43850</v>
      </c>
      <c r="D30" s="29" t="str">
        <f t="shared" si="0"/>
        <v>Veuillez inscrire votre nom</v>
      </c>
      <c r="E30" s="7">
        <f>Données!K5</f>
        <v>43854</v>
      </c>
      <c r="F30" s="6" t="str">
        <f>INDEX(Données!$F$2:$L$54,MATCH('Portail d''objectifs'!E30,Données!$G$2:$G$54,1),1)</f>
        <v>4</v>
      </c>
      <c r="G30" s="18" t="b">
        <f t="shared" si="1"/>
        <v>0</v>
      </c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1"/>
      <c r="W30" s="75"/>
      <c r="X30" s="75"/>
      <c r="Y30" s="75"/>
      <c r="Z30" s="96">
        <f>SUM(Tableau1[[#This Row],[A-1]:[G-5]])</f>
        <v>0</v>
      </c>
      <c r="AA30" s="96" t="str">
        <f>IF(AND(Z30&gt;0,Tableau1[[#This Row],[CDS]]=""),"Oui","Non")</f>
        <v>Non</v>
      </c>
      <c r="AB30" s="75"/>
      <c r="AC30" s="75"/>
      <c r="AD30" s="75"/>
      <c r="AE30" s="75"/>
      <c r="AF30" s="75"/>
      <c r="AG30" s="75"/>
      <c r="AH30" s="75"/>
      <c r="AI30" s="75"/>
      <c r="AJ30" s="81"/>
      <c r="AK30" s="75"/>
      <c r="AL30" s="75"/>
    </row>
    <row r="31" spans="1:38" hidden="1" x14ac:dyDescent="0.25">
      <c r="A31" s="75"/>
      <c r="B31" s="75"/>
      <c r="C31" s="35">
        <f>INDEX(Données!$F$2:$L$54,MATCH(F31,Données!$F$2:$F$54,0),2)</f>
        <v>43850</v>
      </c>
      <c r="D31" s="29" t="str">
        <f t="shared" si="0"/>
        <v>Veuillez inscrire votre nom</v>
      </c>
      <c r="E31" s="7">
        <f>Données!L5</f>
        <v>43855</v>
      </c>
      <c r="F31" s="6" t="str">
        <f>INDEX(Données!$F$2:$L$54,MATCH('Portail d''objectifs'!E31,Données!$G$2:$G$54,1),1)</f>
        <v>4</v>
      </c>
      <c r="G31" s="18" t="b">
        <f t="shared" si="1"/>
        <v>0</v>
      </c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1"/>
      <c r="W31" s="75"/>
      <c r="X31" s="75"/>
      <c r="Y31" s="75"/>
      <c r="Z31" s="96">
        <f>SUM(Tableau1[[#This Row],[A-1]:[G-5]])</f>
        <v>0</v>
      </c>
      <c r="AA31" s="96" t="str">
        <f>IF(AND(Z31&gt;0,Tableau1[[#This Row],[CDS]]=""),"Oui","Non")</f>
        <v>Non</v>
      </c>
      <c r="AB31" s="75"/>
      <c r="AC31" s="75"/>
      <c r="AD31" s="75"/>
      <c r="AE31" s="75"/>
      <c r="AF31" s="75"/>
      <c r="AG31" s="75"/>
      <c r="AH31" s="75"/>
      <c r="AI31" s="75"/>
      <c r="AJ31" s="81"/>
      <c r="AK31" s="75"/>
      <c r="AL31" s="75"/>
    </row>
    <row r="32" spans="1:38" hidden="1" x14ac:dyDescent="0.25">
      <c r="A32" s="75"/>
      <c r="B32" s="75"/>
      <c r="C32" s="35">
        <f>INDEX(Données!$F$2:$L$54,MATCH(F32,Données!$F$2:$F$54,0),2)</f>
        <v>43857</v>
      </c>
      <c r="D32" s="29" t="str">
        <f t="shared" si="0"/>
        <v>Veuillez inscrire votre nom</v>
      </c>
      <c r="E32" s="7">
        <f>Données!G6</f>
        <v>43857</v>
      </c>
      <c r="F32" s="6" t="str">
        <f>INDEX(Données!$F$2:$L$54,MATCH('Portail d''objectifs'!E32,Données!$G$2:$G$54,1),1)</f>
        <v>5</v>
      </c>
      <c r="G32" s="18" t="b">
        <f t="shared" si="1"/>
        <v>0</v>
      </c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1"/>
      <c r="W32" s="75"/>
      <c r="X32" s="75"/>
      <c r="Y32" s="75"/>
      <c r="Z32" s="96">
        <f>SUM(Tableau1[[#This Row],[A-1]:[G-5]])</f>
        <v>0</v>
      </c>
      <c r="AA32" s="96" t="str">
        <f>IF(AND(Z32&gt;0,Tableau1[[#This Row],[CDS]]=""),"Oui","Non")</f>
        <v>Non</v>
      </c>
      <c r="AB32" s="75"/>
      <c r="AC32" s="75"/>
      <c r="AD32" s="75"/>
      <c r="AE32" s="75"/>
      <c r="AF32" s="75"/>
      <c r="AG32" s="75"/>
      <c r="AH32" s="75"/>
      <c r="AI32" s="75"/>
      <c r="AJ32" s="81"/>
      <c r="AK32" s="75"/>
      <c r="AL32" s="75"/>
    </row>
    <row r="33" spans="1:38" hidden="1" x14ac:dyDescent="0.25">
      <c r="A33" s="75"/>
      <c r="B33" s="75"/>
      <c r="C33" s="35">
        <f>INDEX(Données!$F$2:$L$54,MATCH(F33,Données!$F$2:$F$54,0),2)</f>
        <v>43857</v>
      </c>
      <c r="D33" s="29" t="str">
        <f t="shared" si="0"/>
        <v>Veuillez inscrire votre nom</v>
      </c>
      <c r="E33" s="7">
        <f>Données!H6</f>
        <v>43858</v>
      </c>
      <c r="F33" s="6" t="str">
        <f>INDEX(Données!$F$2:$L$54,MATCH('Portail d''objectifs'!E33,Données!$G$2:$G$54,1),1)</f>
        <v>5</v>
      </c>
      <c r="G33" s="18" t="b">
        <f t="shared" si="1"/>
        <v>0</v>
      </c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1"/>
      <c r="W33" s="75"/>
      <c r="X33" s="75"/>
      <c r="Y33" s="75"/>
      <c r="Z33" s="96">
        <f>SUM(Tableau1[[#This Row],[A-1]:[G-5]])</f>
        <v>0</v>
      </c>
      <c r="AA33" s="96" t="str">
        <f>IF(AND(Z33&gt;0,Tableau1[[#This Row],[CDS]]=""),"Oui","Non")</f>
        <v>Non</v>
      </c>
      <c r="AB33" s="75"/>
      <c r="AC33" s="75"/>
      <c r="AD33" s="75"/>
      <c r="AE33" s="75"/>
      <c r="AF33" s="75"/>
      <c r="AG33" s="75"/>
      <c r="AH33" s="75"/>
      <c r="AI33" s="75"/>
      <c r="AJ33" s="81"/>
      <c r="AK33" s="75"/>
      <c r="AL33" s="75"/>
    </row>
    <row r="34" spans="1:38" hidden="1" x14ac:dyDescent="0.25">
      <c r="A34" s="75"/>
      <c r="B34" s="75"/>
      <c r="C34" s="35">
        <f>INDEX(Données!$F$2:$L$54,MATCH(F34,Données!$F$2:$F$54,0),2)</f>
        <v>43857</v>
      </c>
      <c r="D34" s="29" t="str">
        <f t="shared" si="0"/>
        <v>Veuillez inscrire votre nom</v>
      </c>
      <c r="E34" s="7">
        <f>Données!I6</f>
        <v>43859</v>
      </c>
      <c r="F34" s="6" t="str">
        <f>INDEX(Données!$F$2:$L$54,MATCH('Portail d''objectifs'!E34,Données!$G$2:$G$54,1),1)</f>
        <v>5</v>
      </c>
      <c r="G34" s="18" t="b">
        <f t="shared" si="1"/>
        <v>0</v>
      </c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1"/>
      <c r="W34" s="75"/>
      <c r="X34" s="75"/>
      <c r="Y34" s="75"/>
      <c r="Z34" s="96">
        <f>SUM(Tableau1[[#This Row],[A-1]:[G-5]])</f>
        <v>0</v>
      </c>
      <c r="AA34" s="96" t="str">
        <f>IF(AND(Z34&gt;0,Tableau1[[#This Row],[CDS]]=""),"Oui","Non")</f>
        <v>Non</v>
      </c>
      <c r="AB34" s="75"/>
      <c r="AC34" s="75"/>
      <c r="AD34" s="75"/>
      <c r="AE34" s="75"/>
      <c r="AF34" s="75"/>
      <c r="AG34" s="75"/>
      <c r="AH34" s="75"/>
      <c r="AI34" s="75"/>
      <c r="AJ34" s="81"/>
      <c r="AK34" s="75"/>
      <c r="AL34" s="75"/>
    </row>
    <row r="35" spans="1:38" hidden="1" x14ac:dyDescent="0.25">
      <c r="A35" s="75"/>
      <c r="B35" s="75"/>
      <c r="C35" s="35">
        <f>INDEX(Données!$F$2:$L$54,MATCH(F35,Données!$F$2:$F$54,0),2)</f>
        <v>43857</v>
      </c>
      <c r="D35" s="29" t="str">
        <f t="shared" si="0"/>
        <v>Veuillez inscrire votre nom</v>
      </c>
      <c r="E35" s="7">
        <f>Données!J6</f>
        <v>43860</v>
      </c>
      <c r="F35" s="6" t="str">
        <f>INDEX(Données!$F$2:$L$54,MATCH('Portail d''objectifs'!E35,Données!$G$2:$G$54,1),1)</f>
        <v>5</v>
      </c>
      <c r="G35" s="18" t="b">
        <f t="shared" si="1"/>
        <v>0</v>
      </c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1"/>
      <c r="W35" s="75"/>
      <c r="X35" s="75"/>
      <c r="Y35" s="75"/>
      <c r="Z35" s="96">
        <f>SUM(Tableau1[[#This Row],[A-1]:[G-5]])</f>
        <v>0</v>
      </c>
      <c r="AA35" s="96" t="str">
        <f>IF(AND(Z35&gt;0,Tableau1[[#This Row],[CDS]]=""),"Oui","Non")</f>
        <v>Non</v>
      </c>
      <c r="AB35" s="75"/>
      <c r="AC35" s="75"/>
      <c r="AD35" s="75"/>
      <c r="AE35" s="75"/>
      <c r="AF35" s="75"/>
      <c r="AG35" s="75"/>
      <c r="AH35" s="75"/>
      <c r="AI35" s="75"/>
      <c r="AJ35" s="81"/>
      <c r="AK35" s="75"/>
      <c r="AL35" s="75"/>
    </row>
    <row r="36" spans="1:38" hidden="1" x14ac:dyDescent="0.25">
      <c r="A36" s="75"/>
      <c r="B36" s="75"/>
      <c r="C36" s="35">
        <f>INDEX(Données!$F$2:$L$54,MATCH(F36,Données!$F$2:$F$54,0),2)</f>
        <v>43857</v>
      </c>
      <c r="D36" s="29" t="str">
        <f t="shared" si="0"/>
        <v>Veuillez inscrire votre nom</v>
      </c>
      <c r="E36" s="7">
        <f>Données!K6</f>
        <v>43861</v>
      </c>
      <c r="F36" s="6" t="str">
        <f>INDEX(Données!$F$2:$L$54,MATCH('Portail d''objectifs'!E36,Données!$G$2:$G$54,1),1)</f>
        <v>5</v>
      </c>
      <c r="G36" s="18" t="b">
        <f t="shared" si="1"/>
        <v>0</v>
      </c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1"/>
      <c r="W36" s="75"/>
      <c r="X36" s="75"/>
      <c r="Y36" s="75"/>
      <c r="Z36" s="96">
        <f>SUM(Tableau1[[#This Row],[A-1]:[G-5]])</f>
        <v>0</v>
      </c>
      <c r="AA36" s="96" t="str">
        <f>IF(AND(Z36&gt;0,Tableau1[[#This Row],[CDS]]=""),"Oui","Non")</f>
        <v>Non</v>
      </c>
      <c r="AB36" s="75"/>
      <c r="AC36" s="75"/>
      <c r="AD36" s="75"/>
      <c r="AE36" s="75"/>
      <c r="AF36" s="75"/>
      <c r="AG36" s="75"/>
      <c r="AH36" s="75"/>
      <c r="AI36" s="75"/>
      <c r="AJ36" s="81"/>
      <c r="AK36" s="75"/>
      <c r="AL36" s="75"/>
    </row>
    <row r="37" spans="1:38" hidden="1" x14ac:dyDescent="0.25">
      <c r="A37" s="75"/>
      <c r="B37" s="75"/>
      <c r="C37" s="35">
        <f>INDEX(Données!$F$2:$L$54,MATCH(F37,Données!$F$2:$F$54,0),2)</f>
        <v>43857</v>
      </c>
      <c r="D37" s="29" t="str">
        <f t="shared" si="0"/>
        <v>Veuillez inscrire votre nom</v>
      </c>
      <c r="E37" s="7">
        <f>Données!L6</f>
        <v>43862</v>
      </c>
      <c r="F37" s="6" t="str">
        <f>INDEX(Données!$F$2:$L$54,MATCH('Portail d''objectifs'!E37,Données!$G$2:$G$54,1),1)</f>
        <v>5</v>
      </c>
      <c r="G37" s="18" t="b">
        <f t="shared" si="1"/>
        <v>0</v>
      </c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1"/>
      <c r="W37" s="75"/>
      <c r="X37" s="75"/>
      <c r="Y37" s="75"/>
      <c r="Z37" s="96">
        <f>SUM(Tableau1[[#This Row],[A-1]:[G-5]])</f>
        <v>0</v>
      </c>
      <c r="AA37" s="96" t="str">
        <f>IF(AND(Z37&gt;0,Tableau1[[#This Row],[CDS]]=""),"Oui","Non")</f>
        <v>Non</v>
      </c>
      <c r="AB37" s="75"/>
      <c r="AC37" s="75"/>
      <c r="AD37" s="75"/>
      <c r="AE37" s="75"/>
      <c r="AF37" s="75"/>
      <c r="AG37" s="75"/>
      <c r="AH37" s="75"/>
      <c r="AI37" s="75"/>
      <c r="AJ37" s="81"/>
      <c r="AK37" s="75"/>
      <c r="AL37" s="75"/>
    </row>
    <row r="38" spans="1:38" hidden="1" x14ac:dyDescent="0.25">
      <c r="A38" s="75"/>
      <c r="B38" s="75"/>
      <c r="C38" s="35">
        <f>INDEX(Données!$F$2:$L$54,MATCH(F38,Données!$F$2:$F$54,0),2)</f>
        <v>43864</v>
      </c>
      <c r="D38" s="29" t="str">
        <f t="shared" si="0"/>
        <v>Veuillez inscrire votre nom</v>
      </c>
      <c r="E38" s="7">
        <f>Données!G7</f>
        <v>43864</v>
      </c>
      <c r="F38" s="6" t="str">
        <f>INDEX(Données!$F$2:$L$54,MATCH('Portail d''objectifs'!E38,Données!$G$2:$G$54,1),1)</f>
        <v>6</v>
      </c>
      <c r="G38" s="18" t="b">
        <f t="shared" si="1"/>
        <v>0</v>
      </c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1"/>
      <c r="W38" s="75"/>
      <c r="X38" s="75"/>
      <c r="Y38" s="75"/>
      <c r="Z38" s="96">
        <f>SUM(Tableau1[[#This Row],[A-1]:[G-5]])</f>
        <v>0</v>
      </c>
      <c r="AA38" s="96" t="str">
        <f>IF(AND(Z38&gt;0,Tableau1[[#This Row],[CDS]]=""),"Oui","Non")</f>
        <v>Non</v>
      </c>
      <c r="AB38" s="75"/>
      <c r="AC38" s="75"/>
      <c r="AD38" s="75"/>
      <c r="AE38" s="75"/>
      <c r="AF38" s="75"/>
      <c r="AG38" s="75"/>
      <c r="AH38" s="75"/>
      <c r="AI38" s="75"/>
      <c r="AJ38" s="81"/>
      <c r="AK38" s="75"/>
      <c r="AL38" s="75"/>
    </row>
    <row r="39" spans="1:38" hidden="1" x14ac:dyDescent="0.25">
      <c r="A39" s="75"/>
      <c r="B39" s="75"/>
      <c r="C39" s="35">
        <f>INDEX(Données!$F$2:$L$54,MATCH(F39,Données!$F$2:$F$54,0),2)</f>
        <v>43864</v>
      </c>
      <c r="D39" s="29" t="str">
        <f t="shared" si="0"/>
        <v>Veuillez inscrire votre nom</v>
      </c>
      <c r="E39" s="7">
        <f>Données!H7</f>
        <v>43865</v>
      </c>
      <c r="F39" s="6" t="str">
        <f>INDEX(Données!$F$2:$L$54,MATCH('Portail d''objectifs'!E39,Données!$G$2:$G$54,1),1)</f>
        <v>6</v>
      </c>
      <c r="G39" s="18" t="b">
        <f t="shared" si="1"/>
        <v>0</v>
      </c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1"/>
      <c r="W39" s="75"/>
      <c r="X39" s="75"/>
      <c r="Y39" s="75"/>
      <c r="Z39" s="96">
        <f>SUM(Tableau1[[#This Row],[A-1]:[G-5]])</f>
        <v>0</v>
      </c>
      <c r="AA39" s="96" t="str">
        <f>IF(AND(Z39&gt;0,Tableau1[[#This Row],[CDS]]=""),"Oui","Non")</f>
        <v>Non</v>
      </c>
      <c r="AB39" s="75"/>
      <c r="AC39" s="75"/>
      <c r="AD39" s="75"/>
      <c r="AE39" s="75"/>
      <c r="AF39" s="75"/>
      <c r="AG39" s="75"/>
      <c r="AH39" s="75"/>
      <c r="AI39" s="75"/>
      <c r="AJ39" s="81"/>
      <c r="AK39" s="75"/>
      <c r="AL39" s="75"/>
    </row>
    <row r="40" spans="1:38" hidden="1" x14ac:dyDescent="0.25">
      <c r="A40" s="75"/>
      <c r="B40" s="75"/>
      <c r="C40" s="35">
        <f>INDEX(Données!$F$2:$L$54,MATCH(F40,Données!$F$2:$F$54,0),2)</f>
        <v>43864</v>
      </c>
      <c r="D40" s="29" t="str">
        <f t="shared" si="0"/>
        <v>Veuillez inscrire votre nom</v>
      </c>
      <c r="E40" s="7">
        <f>Données!I7</f>
        <v>43866</v>
      </c>
      <c r="F40" s="6" t="str">
        <f>INDEX(Données!$F$2:$L$54,MATCH('Portail d''objectifs'!E40,Données!$G$2:$G$54,1),1)</f>
        <v>6</v>
      </c>
      <c r="G40" s="18" t="b">
        <f t="shared" ref="G40:G71" si="2">IF(AND($V$5=1),"PS-1",IF(AND($V$5=2),"PS-2",IF(AND($V$5=4),"PS-4",IF(AND($V$5=6),"S.O.",IF(AND($V$5=5),"")))))</f>
        <v>0</v>
      </c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1"/>
      <c r="W40" s="75"/>
      <c r="X40" s="75"/>
      <c r="Y40" s="75"/>
      <c r="Z40" s="96">
        <f>SUM(Tableau1[[#This Row],[A-1]:[G-5]])</f>
        <v>0</v>
      </c>
      <c r="AA40" s="96" t="str">
        <f>IF(AND(Z40&gt;0,Tableau1[[#This Row],[CDS]]=""),"Oui","Non")</f>
        <v>Non</v>
      </c>
      <c r="AB40" s="75"/>
      <c r="AC40" s="75"/>
      <c r="AD40" s="75"/>
      <c r="AE40" s="75"/>
      <c r="AF40" s="75"/>
      <c r="AG40" s="75"/>
      <c r="AH40" s="75"/>
      <c r="AI40" s="75"/>
      <c r="AJ40" s="81"/>
      <c r="AK40" s="75"/>
      <c r="AL40" s="75"/>
    </row>
    <row r="41" spans="1:38" hidden="1" x14ac:dyDescent="0.25">
      <c r="A41" s="75"/>
      <c r="B41" s="75"/>
      <c r="C41" s="35">
        <f>INDEX(Données!$F$2:$L$54,MATCH(F41,Données!$F$2:$F$54,0),2)</f>
        <v>43864</v>
      </c>
      <c r="D41" s="29" t="str">
        <f t="shared" si="0"/>
        <v>Veuillez inscrire votre nom</v>
      </c>
      <c r="E41" s="7">
        <f>Données!J7</f>
        <v>43867</v>
      </c>
      <c r="F41" s="6" t="str">
        <f>INDEX(Données!$F$2:$L$54,MATCH('Portail d''objectifs'!E41,Données!$G$2:$G$54,1),1)</f>
        <v>6</v>
      </c>
      <c r="G41" s="18" t="b">
        <f t="shared" si="2"/>
        <v>0</v>
      </c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1"/>
      <c r="W41" s="75"/>
      <c r="X41" s="75"/>
      <c r="Y41" s="75"/>
      <c r="Z41" s="96">
        <f>SUM(Tableau1[[#This Row],[A-1]:[G-5]])</f>
        <v>0</v>
      </c>
      <c r="AA41" s="96" t="str">
        <f>IF(AND(Z41&gt;0,Tableau1[[#This Row],[CDS]]=""),"Oui","Non")</f>
        <v>Non</v>
      </c>
      <c r="AB41" s="75"/>
      <c r="AC41" s="75"/>
      <c r="AD41" s="75"/>
      <c r="AE41" s="75"/>
      <c r="AF41" s="75"/>
      <c r="AG41" s="75"/>
      <c r="AH41" s="75"/>
      <c r="AI41" s="75"/>
      <c r="AJ41" s="81"/>
      <c r="AK41" s="75"/>
      <c r="AL41" s="75"/>
    </row>
    <row r="42" spans="1:38" hidden="1" x14ac:dyDescent="0.25">
      <c r="A42" s="75"/>
      <c r="B42" s="75"/>
      <c r="C42" s="35">
        <f>INDEX(Données!$F$2:$L$54,MATCH(F42,Données!$F$2:$F$54,0),2)</f>
        <v>43864</v>
      </c>
      <c r="D42" s="29" t="str">
        <f t="shared" si="0"/>
        <v>Veuillez inscrire votre nom</v>
      </c>
      <c r="E42" s="7">
        <f>Données!K7</f>
        <v>43868</v>
      </c>
      <c r="F42" s="6" t="str">
        <f>INDEX(Données!$F$2:$L$54,MATCH('Portail d''objectifs'!E42,Données!$G$2:$G$54,1),1)</f>
        <v>6</v>
      </c>
      <c r="G42" s="18" t="b">
        <f t="shared" si="2"/>
        <v>0</v>
      </c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1"/>
      <c r="W42" s="75"/>
      <c r="X42" s="75"/>
      <c r="Y42" s="75"/>
      <c r="Z42" s="96">
        <f>SUM(Tableau1[[#This Row],[A-1]:[G-5]])</f>
        <v>0</v>
      </c>
      <c r="AA42" s="96" t="str">
        <f>IF(AND(Z42&gt;0,Tableau1[[#This Row],[CDS]]=""),"Oui","Non")</f>
        <v>Non</v>
      </c>
      <c r="AB42" s="75"/>
      <c r="AC42" s="75"/>
      <c r="AD42" s="75"/>
      <c r="AE42" s="75"/>
      <c r="AF42" s="75"/>
      <c r="AG42" s="75"/>
      <c r="AH42" s="75"/>
      <c r="AI42" s="75"/>
      <c r="AJ42" s="81"/>
      <c r="AK42" s="75"/>
      <c r="AL42" s="75"/>
    </row>
    <row r="43" spans="1:38" hidden="1" x14ac:dyDescent="0.25">
      <c r="A43" s="75"/>
      <c r="B43" s="75"/>
      <c r="C43" s="35">
        <f>INDEX(Données!$F$2:$L$54,MATCH(F43,Données!$F$2:$F$54,0),2)</f>
        <v>43864</v>
      </c>
      <c r="D43" s="29" t="str">
        <f t="shared" si="0"/>
        <v>Veuillez inscrire votre nom</v>
      </c>
      <c r="E43" s="7">
        <f>Données!L7</f>
        <v>43869</v>
      </c>
      <c r="F43" s="6" t="str">
        <f>INDEX(Données!$F$2:$L$54,MATCH('Portail d''objectifs'!E43,Données!$G$2:$G$54,1),1)</f>
        <v>6</v>
      </c>
      <c r="G43" s="18" t="b">
        <f t="shared" si="2"/>
        <v>0</v>
      </c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1"/>
      <c r="W43" s="75"/>
      <c r="X43" s="75"/>
      <c r="Y43" s="75"/>
      <c r="Z43" s="96">
        <f>SUM(Tableau1[[#This Row],[A-1]:[G-5]])</f>
        <v>0</v>
      </c>
      <c r="AA43" s="96" t="str">
        <f>IF(AND(Z43&gt;0,Tableau1[[#This Row],[CDS]]=""),"Oui","Non")</f>
        <v>Non</v>
      </c>
      <c r="AB43" s="75"/>
      <c r="AC43" s="75"/>
      <c r="AD43" s="75"/>
      <c r="AE43" s="75"/>
      <c r="AF43" s="75"/>
      <c r="AG43" s="75"/>
      <c r="AH43" s="75"/>
      <c r="AI43" s="75"/>
      <c r="AJ43" s="81"/>
      <c r="AK43" s="75"/>
      <c r="AL43" s="75"/>
    </row>
    <row r="44" spans="1:38" hidden="1" x14ac:dyDescent="0.25">
      <c r="A44" s="75"/>
      <c r="B44" s="75"/>
      <c r="C44" s="35">
        <f>INDEX(Données!$F$2:$L$54,MATCH(F44,Données!$F$2:$F$54,0),2)</f>
        <v>43871</v>
      </c>
      <c r="D44" s="29" t="str">
        <f t="shared" si="0"/>
        <v>Veuillez inscrire votre nom</v>
      </c>
      <c r="E44" s="7">
        <f>Données!G8</f>
        <v>43871</v>
      </c>
      <c r="F44" s="6" t="str">
        <f>INDEX(Données!$F$2:$L$54,MATCH('Portail d''objectifs'!E44,Données!$G$2:$G$54,1),1)</f>
        <v>7</v>
      </c>
      <c r="G44" s="18" t="b">
        <f t="shared" si="2"/>
        <v>0</v>
      </c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1"/>
      <c r="W44" s="75"/>
      <c r="X44" s="75"/>
      <c r="Y44" s="75"/>
      <c r="Z44" s="96">
        <f>SUM(Tableau1[[#This Row],[A-1]:[G-5]])</f>
        <v>0</v>
      </c>
      <c r="AA44" s="96" t="str">
        <f>IF(AND(Z44&gt;0,Tableau1[[#This Row],[CDS]]=""),"Oui","Non")</f>
        <v>Non</v>
      </c>
      <c r="AB44" s="75"/>
      <c r="AC44" s="75"/>
      <c r="AD44" s="75"/>
      <c r="AE44" s="75"/>
      <c r="AF44" s="75"/>
      <c r="AG44" s="75"/>
      <c r="AH44" s="75"/>
      <c r="AI44" s="75"/>
      <c r="AJ44" s="81"/>
      <c r="AK44" s="75"/>
      <c r="AL44" s="75"/>
    </row>
    <row r="45" spans="1:38" hidden="1" x14ac:dyDescent="0.25">
      <c r="A45" s="75"/>
      <c r="B45" s="75"/>
      <c r="C45" s="35">
        <f>INDEX(Données!$F$2:$L$54,MATCH(F45,Données!$F$2:$F$54,0),2)</f>
        <v>43871</v>
      </c>
      <c r="D45" s="29" t="str">
        <f t="shared" si="0"/>
        <v>Veuillez inscrire votre nom</v>
      </c>
      <c r="E45" s="7">
        <f>Données!H8</f>
        <v>43872</v>
      </c>
      <c r="F45" s="6" t="str">
        <f>INDEX(Données!$F$2:$L$54,MATCH('Portail d''objectifs'!E45,Données!$G$2:$G$54,1),1)</f>
        <v>7</v>
      </c>
      <c r="G45" s="18" t="b">
        <f t="shared" si="2"/>
        <v>0</v>
      </c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1"/>
      <c r="W45" s="75"/>
      <c r="X45" s="75"/>
      <c r="Y45" s="75"/>
      <c r="Z45" s="96">
        <f>SUM(Tableau1[[#This Row],[A-1]:[G-5]])</f>
        <v>0</v>
      </c>
      <c r="AA45" s="96" t="str">
        <f>IF(AND(Z45&gt;0,Tableau1[[#This Row],[CDS]]=""),"Oui","Non")</f>
        <v>Non</v>
      </c>
      <c r="AB45" s="75"/>
      <c r="AC45" s="75"/>
      <c r="AD45" s="75"/>
      <c r="AE45" s="75"/>
      <c r="AF45" s="75"/>
      <c r="AG45" s="75"/>
      <c r="AH45" s="75"/>
      <c r="AI45" s="75"/>
      <c r="AJ45" s="81"/>
      <c r="AK45" s="75"/>
      <c r="AL45" s="75"/>
    </row>
    <row r="46" spans="1:38" hidden="1" x14ac:dyDescent="0.25">
      <c r="A46" s="75"/>
      <c r="B46" s="75"/>
      <c r="C46" s="35">
        <f>INDEX(Données!$F$2:$L$54,MATCH(F46,Données!$F$2:$F$54,0),2)</f>
        <v>43871</v>
      </c>
      <c r="D46" s="29" t="str">
        <f t="shared" si="0"/>
        <v>Veuillez inscrire votre nom</v>
      </c>
      <c r="E46" s="7">
        <f>Données!I8</f>
        <v>43873</v>
      </c>
      <c r="F46" s="6" t="str">
        <f>INDEX(Données!$F$2:$L$54,MATCH('Portail d''objectifs'!E46,Données!$G$2:$G$54,1),1)</f>
        <v>7</v>
      </c>
      <c r="G46" s="18" t="b">
        <f t="shared" si="2"/>
        <v>0</v>
      </c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1"/>
      <c r="W46" s="75"/>
      <c r="X46" s="75"/>
      <c r="Y46" s="75"/>
      <c r="Z46" s="96">
        <f>SUM(Tableau1[[#This Row],[A-1]:[G-5]])</f>
        <v>0</v>
      </c>
      <c r="AA46" s="96" t="str">
        <f>IF(AND(Z46&gt;0,Tableau1[[#This Row],[CDS]]=""),"Oui","Non")</f>
        <v>Non</v>
      </c>
      <c r="AB46" s="75"/>
      <c r="AC46" s="75"/>
      <c r="AD46" s="75"/>
      <c r="AE46" s="75"/>
      <c r="AF46" s="75"/>
      <c r="AG46" s="75"/>
      <c r="AH46" s="75"/>
      <c r="AI46" s="75"/>
      <c r="AJ46" s="81"/>
      <c r="AK46" s="75"/>
      <c r="AL46" s="75"/>
    </row>
    <row r="47" spans="1:38" hidden="1" x14ac:dyDescent="0.25">
      <c r="A47" s="75"/>
      <c r="B47" s="75"/>
      <c r="C47" s="35">
        <f>INDEX(Données!$F$2:$L$54,MATCH(F47,Données!$F$2:$F$54,0),2)</f>
        <v>43871</v>
      </c>
      <c r="D47" s="29" t="str">
        <f t="shared" si="0"/>
        <v>Veuillez inscrire votre nom</v>
      </c>
      <c r="E47" s="7">
        <f>Données!J8</f>
        <v>43874</v>
      </c>
      <c r="F47" s="6" t="str">
        <f>INDEX(Données!$F$2:$L$54,MATCH('Portail d''objectifs'!E47,Données!$G$2:$G$54,1),1)</f>
        <v>7</v>
      </c>
      <c r="G47" s="18" t="b">
        <f t="shared" si="2"/>
        <v>0</v>
      </c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1"/>
      <c r="W47" s="75"/>
      <c r="X47" s="75"/>
      <c r="Y47" s="75"/>
      <c r="Z47" s="96">
        <f>SUM(Tableau1[[#This Row],[A-1]:[G-5]])</f>
        <v>0</v>
      </c>
      <c r="AA47" s="96" t="str">
        <f>IF(AND(Z47&gt;0,Tableau1[[#This Row],[CDS]]=""),"Oui","Non")</f>
        <v>Non</v>
      </c>
      <c r="AB47" s="75"/>
      <c r="AC47" s="75"/>
      <c r="AD47" s="75"/>
      <c r="AE47" s="75"/>
      <c r="AF47" s="75"/>
      <c r="AG47" s="75"/>
      <c r="AH47" s="75"/>
      <c r="AI47" s="75"/>
      <c r="AJ47" s="81"/>
      <c r="AK47" s="75"/>
      <c r="AL47" s="75"/>
    </row>
    <row r="48" spans="1:38" hidden="1" x14ac:dyDescent="0.25">
      <c r="A48" s="75"/>
      <c r="B48" s="75"/>
      <c r="C48" s="35">
        <f>INDEX(Données!$F$2:$L$54,MATCH(F48,Données!$F$2:$F$54,0),2)</f>
        <v>43871</v>
      </c>
      <c r="D48" s="29" t="str">
        <f t="shared" si="0"/>
        <v>Veuillez inscrire votre nom</v>
      </c>
      <c r="E48" s="7">
        <f>Données!K8</f>
        <v>43875</v>
      </c>
      <c r="F48" s="6" t="str">
        <f>INDEX(Données!$F$2:$L$54,MATCH('Portail d''objectifs'!E48,Données!$G$2:$G$54,1),1)</f>
        <v>7</v>
      </c>
      <c r="G48" s="18" t="b">
        <f t="shared" si="2"/>
        <v>0</v>
      </c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1"/>
      <c r="W48" s="75"/>
      <c r="X48" s="75"/>
      <c r="Y48" s="75"/>
      <c r="Z48" s="96">
        <f>SUM(Tableau1[[#This Row],[A-1]:[G-5]])</f>
        <v>0</v>
      </c>
      <c r="AA48" s="96" t="str">
        <f>IF(AND(Z48&gt;0,Tableau1[[#This Row],[CDS]]=""),"Oui","Non")</f>
        <v>Non</v>
      </c>
      <c r="AB48" s="75"/>
      <c r="AC48" s="75"/>
      <c r="AD48" s="75"/>
      <c r="AE48" s="75"/>
      <c r="AF48" s="75"/>
      <c r="AG48" s="75"/>
      <c r="AH48" s="75"/>
      <c r="AI48" s="75"/>
      <c r="AJ48" s="81"/>
      <c r="AK48" s="75"/>
      <c r="AL48" s="75"/>
    </row>
    <row r="49" spans="1:38" hidden="1" x14ac:dyDescent="0.25">
      <c r="A49" s="75"/>
      <c r="B49" s="75"/>
      <c r="C49" s="35">
        <f>INDEX(Données!$F$2:$L$54,MATCH(F49,Données!$F$2:$F$54,0),2)</f>
        <v>43871</v>
      </c>
      <c r="D49" s="29" t="str">
        <f t="shared" si="0"/>
        <v>Veuillez inscrire votre nom</v>
      </c>
      <c r="E49" s="7">
        <f>Données!L8</f>
        <v>43876</v>
      </c>
      <c r="F49" s="6" t="str">
        <f>INDEX(Données!$F$2:$L$54,MATCH('Portail d''objectifs'!E49,Données!$G$2:$G$54,1),1)</f>
        <v>7</v>
      </c>
      <c r="G49" s="18" t="b">
        <f t="shared" si="2"/>
        <v>0</v>
      </c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1"/>
      <c r="W49" s="75"/>
      <c r="X49" s="75"/>
      <c r="Y49" s="75"/>
      <c r="Z49" s="96">
        <f>SUM(Tableau1[[#This Row],[A-1]:[G-5]])</f>
        <v>0</v>
      </c>
      <c r="AA49" s="96" t="str">
        <f>IF(AND(Z49&gt;0,Tableau1[[#This Row],[CDS]]=""),"Oui","Non")</f>
        <v>Non</v>
      </c>
      <c r="AB49" s="75"/>
      <c r="AC49" s="75"/>
      <c r="AD49" s="75"/>
      <c r="AE49" s="75"/>
      <c r="AF49" s="75"/>
      <c r="AG49" s="75"/>
      <c r="AH49" s="75"/>
      <c r="AI49" s="75"/>
      <c r="AJ49" s="81"/>
      <c r="AK49" s="75"/>
      <c r="AL49" s="75"/>
    </row>
    <row r="50" spans="1:38" hidden="1" x14ac:dyDescent="0.25">
      <c r="A50" s="75"/>
      <c r="B50" s="75"/>
      <c r="C50" s="35">
        <f>INDEX(Données!$F$2:$L$54,MATCH(F50,Données!$F$2:$F$54,0),2)</f>
        <v>43878</v>
      </c>
      <c r="D50" s="29" t="str">
        <f t="shared" si="0"/>
        <v>Veuillez inscrire votre nom</v>
      </c>
      <c r="E50" s="7">
        <f>Données!G9</f>
        <v>43878</v>
      </c>
      <c r="F50" s="6" t="str">
        <f>INDEX(Données!$F$2:$L$54,MATCH('Portail d''objectifs'!E50,Données!$G$2:$G$54,1),1)</f>
        <v>8</v>
      </c>
      <c r="G50" s="18" t="b">
        <f t="shared" si="2"/>
        <v>0</v>
      </c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1"/>
      <c r="W50" s="75"/>
      <c r="X50" s="75"/>
      <c r="Y50" s="75"/>
      <c r="Z50" s="96">
        <f>SUM(Tableau1[[#This Row],[A-1]:[G-5]])</f>
        <v>0</v>
      </c>
      <c r="AA50" s="96" t="str">
        <f>IF(AND(Z50&gt;0,Tableau1[[#This Row],[CDS]]=""),"Oui","Non")</f>
        <v>Non</v>
      </c>
      <c r="AB50" s="75"/>
      <c r="AC50" s="75"/>
      <c r="AD50" s="75"/>
      <c r="AE50" s="75"/>
      <c r="AF50" s="75"/>
      <c r="AG50" s="75"/>
      <c r="AH50" s="75"/>
      <c r="AI50" s="75"/>
      <c r="AJ50" s="81"/>
      <c r="AK50" s="75"/>
      <c r="AL50" s="75"/>
    </row>
    <row r="51" spans="1:38" hidden="1" x14ac:dyDescent="0.25">
      <c r="A51" s="75"/>
      <c r="B51" s="75"/>
      <c r="C51" s="35">
        <f>INDEX(Données!$F$2:$L$54,MATCH(F51,Données!$F$2:$F$54,0),2)</f>
        <v>43878</v>
      </c>
      <c r="D51" s="29" t="str">
        <f t="shared" si="0"/>
        <v>Veuillez inscrire votre nom</v>
      </c>
      <c r="E51" s="7">
        <f>Données!H9</f>
        <v>43879</v>
      </c>
      <c r="F51" s="6" t="str">
        <f>INDEX(Données!$F$2:$L$54,MATCH('Portail d''objectifs'!E51,Données!$G$2:$G$54,1),1)</f>
        <v>8</v>
      </c>
      <c r="G51" s="18" t="b">
        <f t="shared" si="2"/>
        <v>0</v>
      </c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1"/>
      <c r="W51" s="75"/>
      <c r="X51" s="75"/>
      <c r="Y51" s="75"/>
      <c r="Z51" s="96">
        <f>SUM(Tableau1[[#This Row],[A-1]:[G-5]])</f>
        <v>0</v>
      </c>
      <c r="AA51" s="96" t="str">
        <f>IF(AND(Z51&gt;0,Tableau1[[#This Row],[CDS]]=""),"Oui","Non")</f>
        <v>Non</v>
      </c>
      <c r="AB51" s="75"/>
      <c r="AC51" s="75"/>
      <c r="AD51" s="75"/>
      <c r="AE51" s="75"/>
      <c r="AF51" s="75"/>
      <c r="AG51" s="75"/>
      <c r="AH51" s="75"/>
      <c r="AI51" s="75"/>
      <c r="AJ51" s="81"/>
      <c r="AK51" s="75"/>
      <c r="AL51" s="75"/>
    </row>
    <row r="52" spans="1:38" hidden="1" x14ac:dyDescent="0.25">
      <c r="A52" s="75"/>
      <c r="B52" s="75"/>
      <c r="C52" s="35">
        <f>INDEX(Données!$F$2:$L$54,MATCH(F52,Données!$F$2:$F$54,0),2)</f>
        <v>43878</v>
      </c>
      <c r="D52" s="29" t="str">
        <f t="shared" si="0"/>
        <v>Veuillez inscrire votre nom</v>
      </c>
      <c r="E52" s="7">
        <f>Données!I9</f>
        <v>43880</v>
      </c>
      <c r="F52" s="6" t="str">
        <f>INDEX(Données!$F$2:$L$54,MATCH('Portail d''objectifs'!E52,Données!$G$2:$G$54,1),1)</f>
        <v>8</v>
      </c>
      <c r="G52" s="18" t="b">
        <f t="shared" si="2"/>
        <v>0</v>
      </c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1"/>
      <c r="W52" s="75"/>
      <c r="X52" s="75"/>
      <c r="Y52" s="75"/>
      <c r="Z52" s="96">
        <f>SUM(Tableau1[[#This Row],[A-1]:[G-5]])</f>
        <v>0</v>
      </c>
      <c r="AA52" s="96" t="str">
        <f>IF(AND(Z52&gt;0,Tableau1[[#This Row],[CDS]]=""),"Oui","Non")</f>
        <v>Non</v>
      </c>
      <c r="AB52" s="75"/>
      <c r="AC52" s="75"/>
      <c r="AD52" s="75"/>
      <c r="AE52" s="75"/>
      <c r="AF52" s="75"/>
      <c r="AG52" s="75"/>
      <c r="AH52" s="75"/>
      <c r="AI52" s="75"/>
      <c r="AJ52" s="81"/>
      <c r="AK52" s="75"/>
      <c r="AL52" s="75"/>
    </row>
    <row r="53" spans="1:38" hidden="1" x14ac:dyDescent="0.25">
      <c r="A53" s="75"/>
      <c r="B53" s="75"/>
      <c r="C53" s="35">
        <f>INDEX(Données!$F$2:$L$54,MATCH(F53,Données!$F$2:$F$54,0),2)</f>
        <v>43878</v>
      </c>
      <c r="D53" s="29" t="str">
        <f t="shared" si="0"/>
        <v>Veuillez inscrire votre nom</v>
      </c>
      <c r="E53" s="7">
        <f>Données!J9</f>
        <v>43881</v>
      </c>
      <c r="F53" s="6" t="str">
        <f>INDEX(Données!$F$2:$L$54,MATCH('Portail d''objectifs'!E53,Données!$G$2:$G$54,1),1)</f>
        <v>8</v>
      </c>
      <c r="G53" s="18" t="b">
        <f t="shared" si="2"/>
        <v>0</v>
      </c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1"/>
      <c r="W53" s="75"/>
      <c r="X53" s="75"/>
      <c r="Y53" s="75"/>
      <c r="Z53" s="96">
        <f>SUM(Tableau1[[#This Row],[A-1]:[G-5]])</f>
        <v>0</v>
      </c>
      <c r="AA53" s="96" t="str">
        <f>IF(AND(Z53&gt;0,Tableau1[[#This Row],[CDS]]=""),"Oui","Non")</f>
        <v>Non</v>
      </c>
      <c r="AB53" s="75"/>
      <c r="AC53" s="75"/>
      <c r="AD53" s="75"/>
      <c r="AE53" s="75"/>
      <c r="AF53" s="75"/>
      <c r="AG53" s="75"/>
      <c r="AH53" s="75"/>
      <c r="AI53" s="75"/>
      <c r="AJ53" s="81"/>
      <c r="AK53" s="75"/>
      <c r="AL53" s="75"/>
    </row>
    <row r="54" spans="1:38" hidden="1" x14ac:dyDescent="0.25">
      <c r="A54" s="75"/>
      <c r="B54" s="75"/>
      <c r="C54" s="35">
        <f>INDEX(Données!$F$2:$L$54,MATCH(F54,Données!$F$2:$F$54,0),2)</f>
        <v>43878</v>
      </c>
      <c r="D54" s="29" t="str">
        <f t="shared" si="0"/>
        <v>Veuillez inscrire votre nom</v>
      </c>
      <c r="E54" s="7">
        <f>Données!K9</f>
        <v>43882</v>
      </c>
      <c r="F54" s="6" t="str">
        <f>INDEX(Données!$F$2:$L$54,MATCH('Portail d''objectifs'!E54,Données!$G$2:$G$54,1),1)</f>
        <v>8</v>
      </c>
      <c r="G54" s="18" t="b">
        <f t="shared" si="2"/>
        <v>0</v>
      </c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1"/>
      <c r="W54" s="75"/>
      <c r="X54" s="75"/>
      <c r="Y54" s="75"/>
      <c r="Z54" s="96">
        <f>SUM(Tableau1[[#This Row],[A-1]:[G-5]])</f>
        <v>0</v>
      </c>
      <c r="AA54" s="96" t="str">
        <f>IF(AND(Z54&gt;0,Tableau1[[#This Row],[CDS]]=""),"Oui","Non")</f>
        <v>Non</v>
      </c>
      <c r="AB54" s="75"/>
      <c r="AC54" s="75"/>
      <c r="AD54" s="75"/>
      <c r="AE54" s="75"/>
      <c r="AF54" s="75"/>
      <c r="AG54" s="75"/>
      <c r="AH54" s="75"/>
      <c r="AI54" s="75"/>
      <c r="AJ54" s="81"/>
      <c r="AK54" s="75"/>
      <c r="AL54" s="75"/>
    </row>
    <row r="55" spans="1:38" hidden="1" x14ac:dyDescent="0.25">
      <c r="A55" s="75"/>
      <c r="B55" s="75"/>
      <c r="C55" s="35">
        <f>INDEX(Données!$F$2:$L$54,MATCH(F55,Données!$F$2:$F$54,0),2)</f>
        <v>43878</v>
      </c>
      <c r="D55" s="29" t="str">
        <f t="shared" si="0"/>
        <v>Veuillez inscrire votre nom</v>
      </c>
      <c r="E55" s="7">
        <f>Données!L9</f>
        <v>43883</v>
      </c>
      <c r="F55" s="6" t="str">
        <f>INDEX(Données!$F$2:$L$54,MATCH('Portail d''objectifs'!E55,Données!$G$2:$G$54,1),1)</f>
        <v>8</v>
      </c>
      <c r="G55" s="18" t="b">
        <f t="shared" si="2"/>
        <v>0</v>
      </c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1"/>
      <c r="W55" s="75"/>
      <c r="X55" s="75"/>
      <c r="Y55" s="75"/>
      <c r="Z55" s="96">
        <f>SUM(Tableau1[[#This Row],[A-1]:[G-5]])</f>
        <v>0</v>
      </c>
      <c r="AA55" s="96" t="str">
        <f>IF(AND(Z55&gt;0,Tableau1[[#This Row],[CDS]]=""),"Oui","Non")</f>
        <v>Non</v>
      </c>
      <c r="AB55" s="75"/>
      <c r="AC55" s="75"/>
      <c r="AD55" s="75"/>
      <c r="AE55" s="75"/>
      <c r="AF55" s="75"/>
      <c r="AG55" s="75"/>
      <c r="AH55" s="75"/>
      <c r="AI55" s="75"/>
      <c r="AJ55" s="81"/>
      <c r="AK55" s="75"/>
      <c r="AL55" s="75"/>
    </row>
    <row r="56" spans="1:38" hidden="1" x14ac:dyDescent="0.25">
      <c r="A56" s="75"/>
      <c r="B56" s="75"/>
      <c r="C56" s="35">
        <f>INDEX(Données!$F$2:$L$54,MATCH(F56,Données!$F$2:$F$54,0),2)</f>
        <v>43885</v>
      </c>
      <c r="D56" s="29" t="str">
        <f t="shared" si="0"/>
        <v>Veuillez inscrire votre nom</v>
      </c>
      <c r="E56" s="7">
        <f>Données!G10</f>
        <v>43885</v>
      </c>
      <c r="F56" s="6" t="str">
        <f>INDEX(Données!$F$2:$L$54,MATCH('Portail d''objectifs'!E56,Données!$G$2:$G$54,1),1)</f>
        <v>9</v>
      </c>
      <c r="G56" s="18" t="b">
        <f t="shared" si="2"/>
        <v>0</v>
      </c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1"/>
      <c r="W56" s="75"/>
      <c r="X56" s="75"/>
      <c r="Y56" s="75"/>
      <c r="Z56" s="96">
        <f>SUM(Tableau1[[#This Row],[A-1]:[G-5]])</f>
        <v>0</v>
      </c>
      <c r="AA56" s="96" t="str">
        <f>IF(AND(Z56&gt;0,Tableau1[[#This Row],[CDS]]=""),"Oui","Non")</f>
        <v>Non</v>
      </c>
      <c r="AB56" s="75"/>
      <c r="AC56" s="75"/>
      <c r="AD56" s="75"/>
      <c r="AE56" s="75"/>
      <c r="AF56" s="75"/>
      <c r="AG56" s="75"/>
      <c r="AH56" s="75"/>
      <c r="AI56" s="75"/>
      <c r="AJ56" s="81"/>
      <c r="AK56" s="75"/>
      <c r="AL56" s="75"/>
    </row>
    <row r="57" spans="1:38" hidden="1" x14ac:dyDescent="0.25">
      <c r="A57" s="75"/>
      <c r="B57" s="75"/>
      <c r="C57" s="35">
        <f>INDEX(Données!$F$2:$L$54,MATCH(F57,Données!$F$2:$F$54,0),2)</f>
        <v>43885</v>
      </c>
      <c r="D57" s="29" t="str">
        <f t="shared" si="0"/>
        <v>Veuillez inscrire votre nom</v>
      </c>
      <c r="E57" s="7">
        <f>Données!H10</f>
        <v>43886</v>
      </c>
      <c r="F57" s="6" t="str">
        <f>INDEX(Données!$F$2:$L$54,MATCH('Portail d''objectifs'!E57,Données!$G$2:$G$54,1),1)</f>
        <v>9</v>
      </c>
      <c r="G57" s="18" t="b">
        <f t="shared" si="2"/>
        <v>0</v>
      </c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1"/>
      <c r="W57" s="75"/>
      <c r="X57" s="75"/>
      <c r="Y57" s="75"/>
      <c r="Z57" s="96">
        <f>SUM(Tableau1[[#This Row],[A-1]:[G-5]])</f>
        <v>0</v>
      </c>
      <c r="AA57" s="96" t="str">
        <f>IF(AND(Z57&gt;0,Tableau1[[#This Row],[CDS]]=""),"Oui","Non")</f>
        <v>Non</v>
      </c>
      <c r="AB57" s="75"/>
      <c r="AC57" s="75"/>
      <c r="AD57" s="75"/>
      <c r="AE57" s="75"/>
      <c r="AF57" s="75"/>
      <c r="AG57" s="75"/>
      <c r="AH57" s="75"/>
      <c r="AI57" s="75"/>
      <c r="AJ57" s="81"/>
      <c r="AK57" s="75"/>
      <c r="AL57" s="75"/>
    </row>
    <row r="58" spans="1:38" hidden="1" x14ac:dyDescent="0.25">
      <c r="A58" s="75"/>
      <c r="B58" s="75"/>
      <c r="C58" s="35">
        <f>INDEX(Données!$F$2:$L$54,MATCH(F58,Données!$F$2:$F$54,0),2)</f>
        <v>43885</v>
      </c>
      <c r="D58" s="29" t="str">
        <f t="shared" si="0"/>
        <v>Veuillez inscrire votre nom</v>
      </c>
      <c r="E58" s="7">
        <f>Données!I10</f>
        <v>43887</v>
      </c>
      <c r="F58" s="6" t="str">
        <f>INDEX(Données!$F$2:$L$54,MATCH('Portail d''objectifs'!E58,Données!$G$2:$G$54,1),1)</f>
        <v>9</v>
      </c>
      <c r="G58" s="18" t="b">
        <f t="shared" si="2"/>
        <v>0</v>
      </c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1"/>
      <c r="W58" s="75"/>
      <c r="X58" s="75"/>
      <c r="Y58" s="75"/>
      <c r="Z58" s="96">
        <f>SUM(Tableau1[[#This Row],[A-1]:[G-5]])</f>
        <v>0</v>
      </c>
      <c r="AA58" s="96" t="str">
        <f>IF(AND(Z58&gt;0,Tableau1[[#This Row],[CDS]]=""),"Oui","Non")</f>
        <v>Non</v>
      </c>
      <c r="AB58" s="75"/>
      <c r="AC58" s="75"/>
      <c r="AD58" s="75"/>
      <c r="AE58" s="75"/>
      <c r="AF58" s="75"/>
      <c r="AG58" s="75"/>
      <c r="AH58" s="75"/>
      <c r="AI58" s="75"/>
      <c r="AJ58" s="81"/>
      <c r="AK58" s="75"/>
      <c r="AL58" s="75"/>
    </row>
    <row r="59" spans="1:38" hidden="1" x14ac:dyDescent="0.25">
      <c r="A59" s="75"/>
      <c r="B59" s="75"/>
      <c r="C59" s="35">
        <f>INDEX(Données!$F$2:$L$54,MATCH(F59,Données!$F$2:$F$54,0),2)</f>
        <v>43885</v>
      </c>
      <c r="D59" s="29" t="str">
        <f t="shared" si="0"/>
        <v>Veuillez inscrire votre nom</v>
      </c>
      <c r="E59" s="7">
        <f>Données!J10</f>
        <v>43888</v>
      </c>
      <c r="F59" s="6" t="str">
        <f>INDEX(Données!$F$2:$L$54,MATCH('Portail d''objectifs'!E59,Données!$G$2:$G$54,1),1)</f>
        <v>9</v>
      </c>
      <c r="G59" s="18" t="b">
        <f t="shared" si="2"/>
        <v>0</v>
      </c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1"/>
      <c r="W59" s="75"/>
      <c r="X59" s="75"/>
      <c r="Y59" s="75"/>
      <c r="Z59" s="96">
        <f>SUM(Tableau1[[#This Row],[A-1]:[G-5]])</f>
        <v>0</v>
      </c>
      <c r="AA59" s="96" t="str">
        <f>IF(AND(Z59&gt;0,Tableau1[[#This Row],[CDS]]=""),"Oui","Non")</f>
        <v>Non</v>
      </c>
      <c r="AB59" s="75"/>
      <c r="AC59" s="75"/>
      <c r="AD59" s="75"/>
      <c r="AE59" s="75"/>
      <c r="AF59" s="75"/>
      <c r="AG59" s="75"/>
      <c r="AH59" s="75"/>
      <c r="AI59" s="75"/>
      <c r="AJ59" s="81"/>
      <c r="AK59" s="75"/>
      <c r="AL59" s="75"/>
    </row>
    <row r="60" spans="1:38" hidden="1" x14ac:dyDescent="0.25">
      <c r="A60" s="75"/>
      <c r="B60" s="75"/>
      <c r="C60" s="35">
        <f>INDEX(Données!$F$2:$L$54,MATCH(F60,Données!$F$2:$F$54,0),2)</f>
        <v>43885</v>
      </c>
      <c r="D60" s="29" t="str">
        <f t="shared" si="0"/>
        <v>Veuillez inscrire votre nom</v>
      </c>
      <c r="E60" s="7">
        <f>Données!K10</f>
        <v>43889</v>
      </c>
      <c r="F60" s="6" t="str">
        <f>INDEX(Données!$F$2:$L$54,MATCH('Portail d''objectifs'!E60,Données!$G$2:$G$54,1),1)</f>
        <v>9</v>
      </c>
      <c r="G60" s="18" t="b">
        <f t="shared" si="2"/>
        <v>0</v>
      </c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1"/>
      <c r="W60" s="75"/>
      <c r="X60" s="75"/>
      <c r="Y60" s="75"/>
      <c r="Z60" s="96">
        <f>SUM(Tableau1[[#This Row],[A-1]:[G-5]])</f>
        <v>0</v>
      </c>
      <c r="AA60" s="96" t="str">
        <f>IF(AND(Z60&gt;0,Tableau1[[#This Row],[CDS]]=""),"Oui","Non")</f>
        <v>Non</v>
      </c>
      <c r="AB60" s="75"/>
      <c r="AC60" s="75"/>
      <c r="AD60" s="75"/>
      <c r="AE60" s="75"/>
      <c r="AF60" s="75"/>
      <c r="AG60" s="75"/>
      <c r="AH60" s="75"/>
      <c r="AI60" s="75"/>
      <c r="AJ60" s="81"/>
      <c r="AK60" s="75"/>
      <c r="AL60" s="75"/>
    </row>
    <row r="61" spans="1:38" hidden="1" x14ac:dyDescent="0.25">
      <c r="A61" s="75"/>
      <c r="B61" s="75"/>
      <c r="C61" s="35">
        <f>INDEX(Données!$F$2:$L$54,MATCH(F61,Données!$F$2:$F$54,0),2)</f>
        <v>43885</v>
      </c>
      <c r="D61" s="29" t="str">
        <f t="shared" si="0"/>
        <v>Veuillez inscrire votre nom</v>
      </c>
      <c r="E61" s="7">
        <f>Données!L10</f>
        <v>43890</v>
      </c>
      <c r="F61" s="6" t="str">
        <f>INDEX(Données!$F$2:$L$54,MATCH('Portail d''objectifs'!E61,Données!$G$2:$G$54,1),1)</f>
        <v>9</v>
      </c>
      <c r="G61" s="18" t="b">
        <f t="shared" si="2"/>
        <v>0</v>
      </c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1"/>
      <c r="W61" s="75"/>
      <c r="X61" s="75"/>
      <c r="Y61" s="75"/>
      <c r="Z61" s="96">
        <f>SUM(Tableau1[[#This Row],[A-1]:[G-5]])</f>
        <v>0</v>
      </c>
      <c r="AA61" s="96" t="str">
        <f>IF(AND(Z61&gt;0,Tableau1[[#This Row],[CDS]]=""),"Oui","Non")</f>
        <v>Non</v>
      </c>
      <c r="AB61" s="75"/>
      <c r="AC61" s="75"/>
      <c r="AD61" s="75"/>
      <c r="AE61" s="75"/>
      <c r="AF61" s="75"/>
      <c r="AG61" s="75"/>
      <c r="AH61" s="75"/>
      <c r="AI61" s="75"/>
      <c r="AJ61" s="81"/>
      <c r="AK61" s="75"/>
      <c r="AL61" s="75"/>
    </row>
    <row r="62" spans="1:38" hidden="1" x14ac:dyDescent="0.25">
      <c r="A62" s="75"/>
      <c r="B62" s="75"/>
      <c r="C62" s="35">
        <f>INDEX(Données!$F$2:$L$54,MATCH(F62,Données!$F$2:$F$54,0),2)</f>
        <v>43892</v>
      </c>
      <c r="D62" s="29" t="str">
        <f t="shared" si="0"/>
        <v>Veuillez inscrire votre nom</v>
      </c>
      <c r="E62" s="7">
        <f>Données!G11</f>
        <v>43892</v>
      </c>
      <c r="F62" s="6" t="str">
        <f>INDEX(Données!$F$2:$L$54,MATCH('Portail d''objectifs'!E62,Données!$G$2:$G$54,1),1)</f>
        <v>10</v>
      </c>
      <c r="G62" s="18" t="b">
        <f t="shared" si="2"/>
        <v>0</v>
      </c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1"/>
      <c r="W62" s="75"/>
      <c r="X62" s="75"/>
      <c r="Y62" s="75"/>
      <c r="Z62" s="96">
        <f>SUM(Tableau1[[#This Row],[A-1]:[G-5]])</f>
        <v>0</v>
      </c>
      <c r="AA62" s="96" t="str">
        <f>IF(AND(Z62&gt;0,Tableau1[[#This Row],[CDS]]=""),"Oui","Non")</f>
        <v>Non</v>
      </c>
      <c r="AB62" s="75"/>
      <c r="AC62" s="75"/>
      <c r="AD62" s="75"/>
      <c r="AE62" s="75"/>
      <c r="AF62" s="75"/>
      <c r="AG62" s="75"/>
      <c r="AH62" s="75"/>
      <c r="AI62" s="75"/>
      <c r="AJ62" s="81"/>
      <c r="AK62" s="75"/>
      <c r="AL62" s="75"/>
    </row>
    <row r="63" spans="1:38" hidden="1" x14ac:dyDescent="0.25">
      <c r="A63" s="75"/>
      <c r="B63" s="75"/>
      <c r="C63" s="35">
        <f>INDEX(Données!$F$2:$L$54,MATCH(F63,Données!$F$2:$F$54,0),2)</f>
        <v>43892</v>
      </c>
      <c r="D63" s="29" t="str">
        <f t="shared" si="0"/>
        <v>Veuillez inscrire votre nom</v>
      </c>
      <c r="E63" s="7">
        <f>Données!H11</f>
        <v>43893</v>
      </c>
      <c r="F63" s="6" t="str">
        <f>INDEX(Données!$F$2:$L$54,MATCH('Portail d''objectifs'!E63,Données!$G$2:$G$54,1),1)</f>
        <v>10</v>
      </c>
      <c r="G63" s="18" t="b">
        <f t="shared" si="2"/>
        <v>0</v>
      </c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1"/>
      <c r="W63" s="75"/>
      <c r="X63" s="75"/>
      <c r="Y63" s="75"/>
      <c r="Z63" s="96">
        <f>SUM(Tableau1[[#This Row],[A-1]:[G-5]])</f>
        <v>0</v>
      </c>
      <c r="AA63" s="96" t="str">
        <f>IF(AND(Z63&gt;0,Tableau1[[#This Row],[CDS]]=""),"Oui","Non")</f>
        <v>Non</v>
      </c>
      <c r="AB63" s="75"/>
      <c r="AC63" s="75"/>
      <c r="AD63" s="75"/>
      <c r="AE63" s="75"/>
      <c r="AF63" s="75"/>
      <c r="AG63" s="75"/>
      <c r="AH63" s="75"/>
      <c r="AI63" s="75"/>
      <c r="AJ63" s="81"/>
      <c r="AK63" s="75"/>
      <c r="AL63" s="75"/>
    </row>
    <row r="64" spans="1:38" hidden="1" x14ac:dyDescent="0.25">
      <c r="A64" s="75"/>
      <c r="B64" s="75"/>
      <c r="C64" s="35">
        <f>INDEX(Données!$F$2:$L$54,MATCH(F64,Données!$F$2:$F$54,0),2)</f>
        <v>43892</v>
      </c>
      <c r="D64" s="29" t="str">
        <f t="shared" si="0"/>
        <v>Veuillez inscrire votre nom</v>
      </c>
      <c r="E64" s="7">
        <f>Données!I11</f>
        <v>43894</v>
      </c>
      <c r="F64" s="6" t="str">
        <f>INDEX(Données!$F$2:$L$54,MATCH('Portail d''objectifs'!E64,Données!$G$2:$G$54,1),1)</f>
        <v>10</v>
      </c>
      <c r="G64" s="18" t="b">
        <f t="shared" si="2"/>
        <v>0</v>
      </c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1"/>
      <c r="W64" s="75"/>
      <c r="X64" s="75"/>
      <c r="Y64" s="75"/>
      <c r="Z64" s="96">
        <f>SUM(Tableau1[[#This Row],[A-1]:[G-5]])</f>
        <v>0</v>
      </c>
      <c r="AA64" s="96" t="str">
        <f>IF(AND(Z64&gt;0,Tableau1[[#This Row],[CDS]]=""),"Oui","Non")</f>
        <v>Non</v>
      </c>
      <c r="AB64" s="75"/>
      <c r="AC64" s="75"/>
      <c r="AD64" s="75"/>
      <c r="AE64" s="75"/>
      <c r="AF64" s="75"/>
      <c r="AG64" s="75"/>
      <c r="AH64" s="75"/>
      <c r="AI64" s="75"/>
      <c r="AJ64" s="81"/>
      <c r="AK64" s="75"/>
      <c r="AL64" s="75"/>
    </row>
    <row r="65" spans="1:38" hidden="1" x14ac:dyDescent="0.25">
      <c r="A65" s="75"/>
      <c r="B65" s="75"/>
      <c r="C65" s="35">
        <f>INDEX(Données!$F$2:$L$54,MATCH(F65,Données!$F$2:$F$54,0),2)</f>
        <v>43892</v>
      </c>
      <c r="D65" s="29" t="str">
        <f t="shared" si="0"/>
        <v>Veuillez inscrire votre nom</v>
      </c>
      <c r="E65" s="7">
        <f>Données!J11</f>
        <v>43895</v>
      </c>
      <c r="F65" s="6" t="str">
        <f>INDEX(Données!$F$2:$L$54,MATCH('Portail d''objectifs'!E65,Données!$G$2:$G$54,1),1)</f>
        <v>10</v>
      </c>
      <c r="G65" s="18" t="b">
        <f t="shared" si="2"/>
        <v>0</v>
      </c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1"/>
      <c r="W65" s="75"/>
      <c r="X65" s="75"/>
      <c r="Y65" s="75"/>
      <c r="Z65" s="96">
        <f>SUM(Tableau1[[#This Row],[A-1]:[G-5]])</f>
        <v>0</v>
      </c>
      <c r="AA65" s="96" t="str">
        <f>IF(AND(Z65&gt;0,Tableau1[[#This Row],[CDS]]=""),"Oui","Non")</f>
        <v>Non</v>
      </c>
      <c r="AB65" s="75"/>
      <c r="AC65" s="75"/>
      <c r="AD65" s="75"/>
      <c r="AE65" s="75"/>
      <c r="AF65" s="75"/>
      <c r="AG65" s="75"/>
      <c r="AH65" s="75"/>
      <c r="AI65" s="75"/>
      <c r="AJ65" s="81"/>
      <c r="AK65" s="75"/>
      <c r="AL65" s="75"/>
    </row>
    <row r="66" spans="1:38" hidden="1" x14ac:dyDescent="0.25">
      <c r="A66" s="75"/>
      <c r="B66" s="75"/>
      <c r="C66" s="35">
        <f>INDEX(Données!$F$2:$L$54,MATCH(F66,Données!$F$2:$F$54,0),2)</f>
        <v>43892</v>
      </c>
      <c r="D66" s="29" t="str">
        <f t="shared" si="0"/>
        <v>Veuillez inscrire votre nom</v>
      </c>
      <c r="E66" s="7">
        <f>Données!K11</f>
        <v>43896</v>
      </c>
      <c r="F66" s="6" t="str">
        <f>INDEX(Données!$F$2:$L$54,MATCH('Portail d''objectifs'!E66,Données!$G$2:$G$54,1),1)</f>
        <v>10</v>
      </c>
      <c r="G66" s="18" t="b">
        <f t="shared" si="2"/>
        <v>0</v>
      </c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1"/>
      <c r="W66" s="75"/>
      <c r="X66" s="75"/>
      <c r="Y66" s="75"/>
      <c r="Z66" s="96">
        <f>SUM(Tableau1[[#This Row],[A-1]:[G-5]])</f>
        <v>0</v>
      </c>
      <c r="AA66" s="96" t="str">
        <f>IF(AND(Z66&gt;0,Tableau1[[#This Row],[CDS]]=""),"Oui","Non")</f>
        <v>Non</v>
      </c>
      <c r="AB66" s="75"/>
      <c r="AC66" s="75"/>
      <c r="AD66" s="75"/>
      <c r="AE66" s="75"/>
      <c r="AF66" s="75"/>
      <c r="AG66" s="75"/>
      <c r="AH66" s="75"/>
      <c r="AI66" s="75"/>
      <c r="AJ66" s="81"/>
      <c r="AK66" s="75"/>
      <c r="AL66" s="75"/>
    </row>
    <row r="67" spans="1:38" hidden="1" x14ac:dyDescent="0.25">
      <c r="A67" s="75"/>
      <c r="B67" s="75"/>
      <c r="C67" s="35">
        <f>INDEX(Données!$F$2:$L$54,MATCH(F67,Données!$F$2:$F$54,0),2)</f>
        <v>43892</v>
      </c>
      <c r="D67" s="29" t="str">
        <f t="shared" si="0"/>
        <v>Veuillez inscrire votre nom</v>
      </c>
      <c r="E67" s="7">
        <f>Données!L11</f>
        <v>43897</v>
      </c>
      <c r="F67" s="6" t="str">
        <f>INDEX(Données!$F$2:$L$54,MATCH('Portail d''objectifs'!E67,Données!$G$2:$G$54,1),1)</f>
        <v>10</v>
      </c>
      <c r="G67" s="18" t="b">
        <f t="shared" si="2"/>
        <v>0</v>
      </c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1"/>
      <c r="W67" s="75"/>
      <c r="X67" s="75"/>
      <c r="Y67" s="75"/>
      <c r="Z67" s="96">
        <f>SUM(Tableau1[[#This Row],[A-1]:[G-5]])</f>
        <v>0</v>
      </c>
      <c r="AA67" s="96" t="str">
        <f>IF(AND(Z67&gt;0,Tableau1[[#This Row],[CDS]]=""),"Oui","Non")</f>
        <v>Non</v>
      </c>
      <c r="AB67" s="75"/>
      <c r="AC67" s="75"/>
      <c r="AD67" s="75"/>
      <c r="AE67" s="75"/>
      <c r="AF67" s="75"/>
      <c r="AG67" s="75"/>
      <c r="AH67" s="75"/>
      <c r="AI67" s="75"/>
      <c r="AJ67" s="81"/>
      <c r="AK67" s="75"/>
      <c r="AL67" s="75"/>
    </row>
    <row r="68" spans="1:38" hidden="1" x14ac:dyDescent="0.25">
      <c r="A68" s="75"/>
      <c r="B68" s="75"/>
      <c r="C68" s="35">
        <f>INDEX(Données!$F$2:$L$54,MATCH(F68,Données!$F$2:$F$54,0),2)</f>
        <v>43899</v>
      </c>
      <c r="D68" s="29" t="str">
        <f t="shared" si="0"/>
        <v>Veuillez inscrire votre nom</v>
      </c>
      <c r="E68" s="7">
        <f>Données!G12</f>
        <v>43899</v>
      </c>
      <c r="F68" s="6" t="str">
        <f>INDEX(Données!$F$2:$L$54,MATCH('Portail d''objectifs'!E68,Données!$G$2:$G$54,1),1)</f>
        <v>11</v>
      </c>
      <c r="G68" s="18" t="b">
        <f t="shared" si="2"/>
        <v>0</v>
      </c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1"/>
      <c r="W68" s="75"/>
      <c r="X68" s="75"/>
      <c r="Y68" s="75"/>
      <c r="Z68" s="96">
        <f>SUM(Tableau1[[#This Row],[A-1]:[G-5]])</f>
        <v>0</v>
      </c>
      <c r="AA68" s="96" t="str">
        <f>IF(AND(Z68&gt;0,Tableau1[[#This Row],[CDS]]=""),"Oui","Non")</f>
        <v>Non</v>
      </c>
      <c r="AB68" s="75"/>
      <c r="AC68" s="75"/>
      <c r="AD68" s="75"/>
      <c r="AE68" s="75"/>
      <c r="AF68" s="75"/>
      <c r="AG68" s="75"/>
      <c r="AH68" s="75"/>
      <c r="AI68" s="75"/>
      <c r="AJ68" s="81"/>
      <c r="AK68" s="75"/>
      <c r="AL68" s="75"/>
    </row>
    <row r="69" spans="1:38" hidden="1" x14ac:dyDescent="0.25">
      <c r="A69" s="75"/>
      <c r="B69" s="75"/>
      <c r="C69" s="35">
        <f>INDEX(Données!$F$2:$L$54,MATCH(F69,Données!$F$2:$F$54,0),2)</f>
        <v>43899</v>
      </c>
      <c r="D69" s="29" t="str">
        <f t="shared" si="0"/>
        <v>Veuillez inscrire votre nom</v>
      </c>
      <c r="E69" s="7">
        <f>Données!H12</f>
        <v>43900</v>
      </c>
      <c r="F69" s="6" t="str">
        <f>INDEX(Données!$F$2:$L$54,MATCH('Portail d''objectifs'!E69,Données!$G$2:$G$54,1),1)</f>
        <v>11</v>
      </c>
      <c r="G69" s="18" t="b">
        <f t="shared" si="2"/>
        <v>0</v>
      </c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1"/>
      <c r="W69" s="75"/>
      <c r="X69" s="75"/>
      <c r="Y69" s="75"/>
      <c r="Z69" s="96">
        <f>SUM(Tableau1[[#This Row],[A-1]:[G-5]])</f>
        <v>0</v>
      </c>
      <c r="AA69" s="96" t="str">
        <f>IF(AND(Z69&gt;0,Tableau1[[#This Row],[CDS]]=""),"Oui","Non")</f>
        <v>Non</v>
      </c>
      <c r="AB69" s="75"/>
      <c r="AC69" s="75"/>
      <c r="AD69" s="75"/>
      <c r="AE69" s="75"/>
      <c r="AF69" s="75"/>
      <c r="AG69" s="75"/>
      <c r="AH69" s="75"/>
      <c r="AI69" s="75"/>
      <c r="AJ69" s="81"/>
      <c r="AK69" s="75"/>
      <c r="AL69" s="75"/>
    </row>
    <row r="70" spans="1:38" hidden="1" x14ac:dyDescent="0.25">
      <c r="A70" s="75"/>
      <c r="B70" s="75"/>
      <c r="C70" s="35">
        <f>INDEX(Données!$F$2:$L$54,MATCH(F70,Données!$F$2:$F$54,0),2)</f>
        <v>43899</v>
      </c>
      <c r="D70" s="29" t="str">
        <f t="shared" si="0"/>
        <v>Veuillez inscrire votre nom</v>
      </c>
      <c r="E70" s="7">
        <f>Données!I12</f>
        <v>43901</v>
      </c>
      <c r="F70" s="6" t="str">
        <f>INDEX(Données!$F$2:$L$54,MATCH('Portail d''objectifs'!E70,Données!$G$2:$G$54,1),1)</f>
        <v>11</v>
      </c>
      <c r="G70" s="18" t="b">
        <f t="shared" si="2"/>
        <v>0</v>
      </c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1"/>
      <c r="W70" s="75"/>
      <c r="X70" s="75"/>
      <c r="Y70" s="75"/>
      <c r="Z70" s="96">
        <f>SUM(Tableau1[[#This Row],[A-1]:[G-5]])</f>
        <v>0</v>
      </c>
      <c r="AA70" s="96" t="str">
        <f>IF(AND(Z70&gt;0,Tableau1[[#This Row],[CDS]]=""),"Oui","Non")</f>
        <v>Non</v>
      </c>
      <c r="AB70" s="75"/>
      <c r="AC70" s="75"/>
      <c r="AD70" s="75"/>
      <c r="AE70" s="75"/>
      <c r="AF70" s="75"/>
      <c r="AG70" s="75"/>
      <c r="AH70" s="75"/>
      <c r="AI70" s="75"/>
      <c r="AJ70" s="81"/>
      <c r="AK70" s="75"/>
      <c r="AL70" s="75"/>
    </row>
    <row r="71" spans="1:38" hidden="1" x14ac:dyDescent="0.25">
      <c r="A71" s="75"/>
      <c r="B71" s="75"/>
      <c r="C71" s="35">
        <f>INDEX(Données!$F$2:$L$54,MATCH(F71,Données!$F$2:$F$54,0),2)</f>
        <v>43899</v>
      </c>
      <c r="D71" s="29" t="str">
        <f t="shared" si="0"/>
        <v>Veuillez inscrire votre nom</v>
      </c>
      <c r="E71" s="7">
        <f>Données!J12</f>
        <v>43902</v>
      </c>
      <c r="F71" s="6" t="str">
        <f>INDEX(Données!$F$2:$L$54,MATCH('Portail d''objectifs'!E71,Données!$G$2:$G$54,1),1)</f>
        <v>11</v>
      </c>
      <c r="G71" s="18" t="b">
        <f t="shared" si="2"/>
        <v>0</v>
      </c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1"/>
      <c r="W71" s="75"/>
      <c r="X71" s="75"/>
      <c r="Y71" s="75"/>
      <c r="Z71" s="96">
        <f>SUM(Tableau1[[#This Row],[A-1]:[G-5]])</f>
        <v>0</v>
      </c>
      <c r="AA71" s="96" t="str">
        <f>IF(AND(Z71&gt;0,Tableau1[[#This Row],[CDS]]=""),"Oui","Non")</f>
        <v>Non</v>
      </c>
      <c r="AB71" s="75"/>
      <c r="AC71" s="75"/>
      <c r="AD71" s="75"/>
      <c r="AE71" s="75"/>
      <c r="AF71" s="75"/>
      <c r="AG71" s="75"/>
      <c r="AH71" s="75"/>
      <c r="AI71" s="75"/>
      <c r="AJ71" s="81"/>
      <c r="AK71" s="75"/>
      <c r="AL71" s="75"/>
    </row>
    <row r="72" spans="1:38" hidden="1" x14ac:dyDescent="0.25">
      <c r="A72" s="75"/>
      <c r="B72" s="75"/>
      <c r="C72" s="35">
        <f>INDEX(Données!$F$2:$L$54,MATCH(F72,Données!$F$2:$F$54,0),2)</f>
        <v>43899</v>
      </c>
      <c r="D72" s="29" t="str">
        <f t="shared" ref="D72:D135" si="3">$E$4</f>
        <v>Veuillez inscrire votre nom</v>
      </c>
      <c r="E72" s="7">
        <f>Données!K12</f>
        <v>43903</v>
      </c>
      <c r="F72" s="6" t="str">
        <f>INDEX(Données!$F$2:$L$54,MATCH('Portail d''objectifs'!E72,Données!$G$2:$G$54,1),1)</f>
        <v>11</v>
      </c>
      <c r="G72" s="18" t="b">
        <f t="shared" ref="G72:G135" si="4">IF(AND($V$5=1),"PS-1",IF(AND($V$5=2),"PS-2",IF(AND($V$5=4),"PS-4",IF(AND($V$5=6),"S.O.",IF(AND($V$5=5),"")))))</f>
        <v>0</v>
      </c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1"/>
      <c r="W72" s="75"/>
      <c r="X72" s="75"/>
      <c r="Y72" s="75"/>
      <c r="Z72" s="96">
        <f>SUM(Tableau1[[#This Row],[A-1]:[G-5]])</f>
        <v>0</v>
      </c>
      <c r="AA72" s="96" t="str">
        <f>IF(AND(Z72&gt;0,Tableau1[[#This Row],[CDS]]=""),"Oui","Non")</f>
        <v>Non</v>
      </c>
      <c r="AB72" s="75"/>
      <c r="AC72" s="75"/>
      <c r="AD72" s="75"/>
      <c r="AE72" s="75"/>
      <c r="AF72" s="75"/>
      <c r="AG72" s="75"/>
      <c r="AH72" s="75"/>
      <c r="AI72" s="75"/>
      <c r="AJ72" s="81"/>
      <c r="AK72" s="75"/>
      <c r="AL72" s="75"/>
    </row>
    <row r="73" spans="1:38" hidden="1" x14ac:dyDescent="0.25">
      <c r="A73" s="75"/>
      <c r="B73" s="75"/>
      <c r="C73" s="35">
        <f>INDEX(Données!$F$2:$L$54,MATCH(F73,Données!$F$2:$F$54,0),2)</f>
        <v>43899</v>
      </c>
      <c r="D73" s="29" t="str">
        <f t="shared" si="3"/>
        <v>Veuillez inscrire votre nom</v>
      </c>
      <c r="E73" s="7">
        <f>Données!L12</f>
        <v>43904</v>
      </c>
      <c r="F73" s="6" t="str">
        <f>INDEX(Données!$F$2:$L$54,MATCH('Portail d''objectifs'!E73,Données!$G$2:$G$54,1),1)</f>
        <v>11</v>
      </c>
      <c r="G73" s="18" t="b">
        <f t="shared" si="4"/>
        <v>0</v>
      </c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1"/>
      <c r="W73" s="75"/>
      <c r="X73" s="75"/>
      <c r="Y73" s="75"/>
      <c r="Z73" s="96">
        <f>SUM(Tableau1[[#This Row],[A-1]:[G-5]])</f>
        <v>0</v>
      </c>
      <c r="AA73" s="96" t="str">
        <f>IF(AND(Z73&gt;0,Tableau1[[#This Row],[CDS]]=""),"Oui","Non")</f>
        <v>Non</v>
      </c>
      <c r="AB73" s="75"/>
      <c r="AC73" s="75"/>
      <c r="AD73" s="75"/>
      <c r="AE73" s="75"/>
      <c r="AF73" s="75"/>
      <c r="AG73" s="75"/>
      <c r="AH73" s="75"/>
      <c r="AI73" s="75"/>
      <c r="AJ73" s="81"/>
      <c r="AK73" s="75"/>
      <c r="AL73" s="75"/>
    </row>
    <row r="74" spans="1:38" hidden="1" x14ac:dyDescent="0.25">
      <c r="A74" s="75"/>
      <c r="B74" s="75"/>
      <c r="C74" s="35">
        <f>INDEX(Données!$F$2:$L$54,MATCH(F74,Données!$F$2:$F$54,0),2)</f>
        <v>43906</v>
      </c>
      <c r="D74" s="29" t="str">
        <f t="shared" si="3"/>
        <v>Veuillez inscrire votre nom</v>
      </c>
      <c r="E74" s="7">
        <f>Données!G13</f>
        <v>43906</v>
      </c>
      <c r="F74" s="6" t="str">
        <f>INDEX(Données!$F$2:$L$54,MATCH('Portail d''objectifs'!E74,Données!$G$2:$G$54,1),1)</f>
        <v>12</v>
      </c>
      <c r="G74" s="18" t="b">
        <f t="shared" si="4"/>
        <v>0</v>
      </c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1"/>
      <c r="W74" s="75"/>
      <c r="X74" s="75"/>
      <c r="Y74" s="75"/>
      <c r="Z74" s="96">
        <f>SUM(Tableau1[[#This Row],[A-1]:[G-5]])</f>
        <v>0</v>
      </c>
      <c r="AA74" s="96" t="str">
        <f>IF(AND(Z74&gt;0,Tableau1[[#This Row],[CDS]]=""),"Oui","Non")</f>
        <v>Non</v>
      </c>
      <c r="AB74" s="75"/>
      <c r="AC74" s="75"/>
      <c r="AD74" s="75"/>
      <c r="AE74" s="75"/>
      <c r="AF74" s="75"/>
      <c r="AG74" s="75"/>
      <c r="AH74" s="75"/>
      <c r="AI74" s="75"/>
      <c r="AJ74" s="81"/>
      <c r="AK74" s="75"/>
      <c r="AL74" s="75"/>
    </row>
    <row r="75" spans="1:38" hidden="1" x14ac:dyDescent="0.25">
      <c r="A75" s="75"/>
      <c r="B75" s="75"/>
      <c r="C75" s="35">
        <f>INDEX(Données!$F$2:$L$54,MATCH(F75,Données!$F$2:$F$54,0),2)</f>
        <v>43906</v>
      </c>
      <c r="D75" s="29" t="str">
        <f t="shared" si="3"/>
        <v>Veuillez inscrire votre nom</v>
      </c>
      <c r="E75" s="7">
        <f>Données!H13</f>
        <v>43907</v>
      </c>
      <c r="F75" s="6" t="str">
        <f>INDEX(Données!$F$2:$L$54,MATCH('Portail d''objectifs'!E75,Données!$G$2:$G$54,1),1)</f>
        <v>12</v>
      </c>
      <c r="G75" s="18" t="b">
        <f t="shared" si="4"/>
        <v>0</v>
      </c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1"/>
      <c r="W75" s="75"/>
      <c r="X75" s="75"/>
      <c r="Y75" s="75"/>
      <c r="Z75" s="96">
        <f>SUM(Tableau1[[#This Row],[A-1]:[G-5]])</f>
        <v>0</v>
      </c>
      <c r="AA75" s="96" t="str">
        <f>IF(AND(Z75&gt;0,Tableau1[[#This Row],[CDS]]=""),"Oui","Non")</f>
        <v>Non</v>
      </c>
      <c r="AB75" s="75"/>
      <c r="AC75" s="75"/>
      <c r="AD75" s="75"/>
      <c r="AE75" s="75"/>
      <c r="AF75" s="75"/>
      <c r="AG75" s="75"/>
      <c r="AH75" s="75"/>
      <c r="AI75" s="75"/>
      <c r="AJ75" s="81"/>
      <c r="AK75" s="75"/>
      <c r="AL75" s="75"/>
    </row>
    <row r="76" spans="1:38" hidden="1" x14ac:dyDescent="0.25">
      <c r="A76" s="75"/>
      <c r="B76" s="75"/>
      <c r="C76" s="35">
        <f>INDEX(Données!$F$2:$L$54,MATCH(F76,Données!$F$2:$F$54,0),2)</f>
        <v>43906</v>
      </c>
      <c r="D76" s="29" t="str">
        <f t="shared" si="3"/>
        <v>Veuillez inscrire votre nom</v>
      </c>
      <c r="E76" s="7">
        <f>Données!I13</f>
        <v>43908</v>
      </c>
      <c r="F76" s="6" t="str">
        <f>INDEX(Données!$F$2:$L$54,MATCH('Portail d''objectifs'!E76,Données!$G$2:$G$54,1),1)</f>
        <v>12</v>
      </c>
      <c r="G76" s="18" t="b">
        <f t="shared" si="4"/>
        <v>0</v>
      </c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1"/>
      <c r="W76" s="75"/>
      <c r="X76" s="75"/>
      <c r="Y76" s="75"/>
      <c r="Z76" s="96">
        <f>SUM(Tableau1[[#This Row],[A-1]:[G-5]])</f>
        <v>0</v>
      </c>
      <c r="AA76" s="96" t="str">
        <f>IF(AND(Z76&gt;0,Tableau1[[#This Row],[CDS]]=""),"Oui","Non")</f>
        <v>Non</v>
      </c>
      <c r="AB76" s="75"/>
      <c r="AC76" s="75"/>
      <c r="AD76" s="75"/>
      <c r="AE76" s="75"/>
      <c r="AF76" s="75"/>
      <c r="AG76" s="75"/>
      <c r="AH76" s="75"/>
      <c r="AI76" s="75"/>
      <c r="AJ76" s="81"/>
      <c r="AK76" s="75"/>
      <c r="AL76" s="75"/>
    </row>
    <row r="77" spans="1:38" hidden="1" x14ac:dyDescent="0.25">
      <c r="A77" s="75"/>
      <c r="B77" s="75"/>
      <c r="C77" s="35">
        <f>INDEX(Données!$F$2:$L$54,MATCH(F77,Données!$F$2:$F$54,0),2)</f>
        <v>43906</v>
      </c>
      <c r="D77" s="29" t="str">
        <f t="shared" si="3"/>
        <v>Veuillez inscrire votre nom</v>
      </c>
      <c r="E77" s="7">
        <f>Données!J13</f>
        <v>43909</v>
      </c>
      <c r="F77" s="6" t="str">
        <f>INDEX(Données!$F$2:$L$54,MATCH('Portail d''objectifs'!E77,Données!$G$2:$G$54,1),1)</f>
        <v>12</v>
      </c>
      <c r="G77" s="18" t="b">
        <f t="shared" si="4"/>
        <v>0</v>
      </c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1"/>
      <c r="W77" s="75"/>
      <c r="X77" s="75"/>
      <c r="Y77" s="75"/>
      <c r="Z77" s="96">
        <f>SUM(Tableau1[[#This Row],[A-1]:[G-5]])</f>
        <v>0</v>
      </c>
      <c r="AA77" s="96" t="str">
        <f>IF(AND(Z77&gt;0,Tableau1[[#This Row],[CDS]]=""),"Oui","Non")</f>
        <v>Non</v>
      </c>
      <c r="AB77" s="75"/>
      <c r="AC77" s="75"/>
      <c r="AD77" s="75"/>
      <c r="AE77" s="75"/>
      <c r="AF77" s="75"/>
      <c r="AG77" s="75"/>
      <c r="AH77" s="75"/>
      <c r="AI77" s="75"/>
      <c r="AJ77" s="81"/>
      <c r="AK77" s="75"/>
      <c r="AL77" s="75"/>
    </row>
    <row r="78" spans="1:38" hidden="1" x14ac:dyDescent="0.25">
      <c r="A78" s="75"/>
      <c r="B78" s="75"/>
      <c r="C78" s="35">
        <f>INDEX(Données!$F$2:$L$54,MATCH(F78,Données!$F$2:$F$54,0),2)</f>
        <v>43906</v>
      </c>
      <c r="D78" s="29" t="str">
        <f t="shared" si="3"/>
        <v>Veuillez inscrire votre nom</v>
      </c>
      <c r="E78" s="7">
        <f>Données!K13</f>
        <v>43910</v>
      </c>
      <c r="F78" s="6" t="str">
        <f>INDEX(Données!$F$2:$L$54,MATCH('Portail d''objectifs'!E78,Données!$G$2:$G$54,1),1)</f>
        <v>12</v>
      </c>
      <c r="G78" s="18" t="b">
        <f t="shared" si="4"/>
        <v>0</v>
      </c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1"/>
      <c r="W78" s="75"/>
      <c r="X78" s="75"/>
      <c r="Y78" s="75"/>
      <c r="Z78" s="96">
        <f>SUM(Tableau1[[#This Row],[A-1]:[G-5]])</f>
        <v>0</v>
      </c>
      <c r="AA78" s="96" t="str">
        <f>IF(AND(Z78&gt;0,Tableau1[[#This Row],[CDS]]=""),"Oui","Non")</f>
        <v>Non</v>
      </c>
      <c r="AB78" s="75"/>
      <c r="AC78" s="75"/>
      <c r="AD78" s="75"/>
      <c r="AE78" s="75"/>
      <c r="AF78" s="75"/>
      <c r="AG78" s="75"/>
      <c r="AH78" s="75"/>
      <c r="AI78" s="75"/>
      <c r="AJ78" s="81"/>
      <c r="AK78" s="75"/>
      <c r="AL78" s="75"/>
    </row>
    <row r="79" spans="1:38" hidden="1" x14ac:dyDescent="0.25">
      <c r="A79" s="75"/>
      <c r="B79" s="75"/>
      <c r="C79" s="35">
        <f>INDEX(Données!$F$2:$L$54,MATCH(F79,Données!$F$2:$F$54,0),2)</f>
        <v>43906</v>
      </c>
      <c r="D79" s="29" t="str">
        <f t="shared" si="3"/>
        <v>Veuillez inscrire votre nom</v>
      </c>
      <c r="E79" s="7">
        <f>Données!L13</f>
        <v>43911</v>
      </c>
      <c r="F79" s="6" t="str">
        <f>INDEX(Données!$F$2:$L$54,MATCH('Portail d''objectifs'!E79,Données!$G$2:$G$54,1),1)</f>
        <v>12</v>
      </c>
      <c r="G79" s="18" t="b">
        <f t="shared" si="4"/>
        <v>0</v>
      </c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1"/>
      <c r="W79" s="75"/>
      <c r="X79" s="75"/>
      <c r="Y79" s="75"/>
      <c r="Z79" s="96">
        <f>SUM(Tableau1[[#This Row],[A-1]:[G-5]])</f>
        <v>0</v>
      </c>
      <c r="AA79" s="96" t="str">
        <f>IF(AND(Z79&gt;0,Tableau1[[#This Row],[CDS]]=""),"Oui","Non")</f>
        <v>Non</v>
      </c>
      <c r="AB79" s="75"/>
      <c r="AC79" s="75"/>
      <c r="AD79" s="75"/>
      <c r="AE79" s="75"/>
      <c r="AF79" s="75"/>
      <c r="AG79" s="75"/>
      <c r="AH79" s="75"/>
      <c r="AI79" s="75"/>
      <c r="AJ79" s="81"/>
      <c r="AK79" s="75"/>
      <c r="AL79" s="75"/>
    </row>
    <row r="80" spans="1:38" hidden="1" x14ac:dyDescent="0.25">
      <c r="A80" s="75"/>
      <c r="B80" s="75"/>
      <c r="C80" s="35">
        <f>INDEX(Données!$F$2:$L$54,MATCH(F80,Données!$F$2:$F$54,0),2)</f>
        <v>43913</v>
      </c>
      <c r="D80" s="29" t="str">
        <f t="shared" si="3"/>
        <v>Veuillez inscrire votre nom</v>
      </c>
      <c r="E80" s="7">
        <f>Données!G14</f>
        <v>43913</v>
      </c>
      <c r="F80" s="6" t="str">
        <f>INDEX(Données!$F$2:$L$54,MATCH('Portail d''objectifs'!E80,Données!$G$2:$G$54,1),1)</f>
        <v>13</v>
      </c>
      <c r="G80" s="18" t="b">
        <f t="shared" si="4"/>
        <v>0</v>
      </c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1"/>
      <c r="W80" s="75"/>
      <c r="X80" s="75"/>
      <c r="Y80" s="75"/>
      <c r="Z80" s="96">
        <f>SUM(Tableau1[[#This Row],[A-1]:[G-5]])</f>
        <v>0</v>
      </c>
      <c r="AA80" s="96" t="str">
        <f>IF(AND(Z80&gt;0,Tableau1[[#This Row],[CDS]]=""),"Oui","Non")</f>
        <v>Non</v>
      </c>
      <c r="AB80" s="75"/>
      <c r="AC80" s="75"/>
      <c r="AD80" s="75"/>
      <c r="AE80" s="75"/>
      <c r="AF80" s="75"/>
      <c r="AG80" s="75"/>
      <c r="AH80" s="75"/>
      <c r="AI80" s="75"/>
      <c r="AJ80" s="81"/>
      <c r="AK80" s="75"/>
      <c r="AL80" s="75"/>
    </row>
    <row r="81" spans="1:38" hidden="1" x14ac:dyDescent="0.25">
      <c r="A81" s="75"/>
      <c r="B81" s="75"/>
      <c r="C81" s="35">
        <f>INDEX(Données!$F$2:$L$54,MATCH(F81,Données!$F$2:$F$54,0),2)</f>
        <v>43913</v>
      </c>
      <c r="D81" s="29" t="str">
        <f t="shared" si="3"/>
        <v>Veuillez inscrire votre nom</v>
      </c>
      <c r="E81" s="7">
        <f>Données!H14</f>
        <v>43914</v>
      </c>
      <c r="F81" s="6" t="str">
        <f>INDEX(Données!$F$2:$L$54,MATCH('Portail d''objectifs'!E81,Données!$G$2:$G$54,1),1)</f>
        <v>13</v>
      </c>
      <c r="G81" s="18" t="b">
        <f t="shared" si="4"/>
        <v>0</v>
      </c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1"/>
      <c r="W81" s="75"/>
      <c r="X81" s="75"/>
      <c r="Y81" s="75"/>
      <c r="Z81" s="96">
        <f>SUM(Tableau1[[#This Row],[A-1]:[G-5]])</f>
        <v>0</v>
      </c>
      <c r="AA81" s="96" t="str">
        <f>IF(AND(Z81&gt;0,Tableau1[[#This Row],[CDS]]=""),"Oui","Non")</f>
        <v>Non</v>
      </c>
      <c r="AB81" s="75"/>
      <c r="AC81" s="75"/>
      <c r="AD81" s="75"/>
      <c r="AE81" s="75"/>
      <c r="AF81" s="75"/>
      <c r="AG81" s="75"/>
      <c r="AH81" s="75"/>
      <c r="AI81" s="75"/>
      <c r="AJ81" s="81"/>
      <c r="AK81" s="75"/>
      <c r="AL81" s="75"/>
    </row>
    <row r="82" spans="1:38" hidden="1" x14ac:dyDescent="0.25">
      <c r="A82" s="75"/>
      <c r="B82" s="75"/>
      <c r="C82" s="35">
        <f>INDEX(Données!$F$2:$L$54,MATCH(F82,Données!$F$2:$F$54,0),2)</f>
        <v>43913</v>
      </c>
      <c r="D82" s="29" t="str">
        <f t="shared" si="3"/>
        <v>Veuillez inscrire votre nom</v>
      </c>
      <c r="E82" s="7">
        <f>Données!I14</f>
        <v>43915</v>
      </c>
      <c r="F82" s="6" t="str">
        <f>INDEX(Données!$F$2:$L$54,MATCH('Portail d''objectifs'!E82,Données!$G$2:$G$54,1),1)</f>
        <v>13</v>
      </c>
      <c r="G82" s="18" t="b">
        <f t="shared" si="4"/>
        <v>0</v>
      </c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1"/>
      <c r="W82" s="75"/>
      <c r="X82" s="75"/>
      <c r="Y82" s="75"/>
      <c r="Z82" s="96">
        <f>SUM(Tableau1[[#This Row],[A-1]:[G-5]])</f>
        <v>0</v>
      </c>
      <c r="AA82" s="96" t="str">
        <f>IF(AND(Z82&gt;0,Tableau1[[#This Row],[CDS]]=""),"Oui","Non")</f>
        <v>Non</v>
      </c>
      <c r="AB82" s="75"/>
      <c r="AC82" s="75"/>
      <c r="AD82" s="75"/>
      <c r="AE82" s="75"/>
      <c r="AF82" s="75"/>
      <c r="AG82" s="75"/>
      <c r="AH82" s="75"/>
      <c r="AI82" s="75"/>
      <c r="AJ82" s="81"/>
      <c r="AK82" s="75"/>
      <c r="AL82" s="75"/>
    </row>
    <row r="83" spans="1:38" hidden="1" x14ac:dyDescent="0.25">
      <c r="A83" s="75"/>
      <c r="B83" s="75"/>
      <c r="C83" s="35">
        <f>INDEX(Données!$F$2:$L$54,MATCH(F83,Données!$F$2:$F$54,0),2)</f>
        <v>43913</v>
      </c>
      <c r="D83" s="29" t="str">
        <f t="shared" si="3"/>
        <v>Veuillez inscrire votre nom</v>
      </c>
      <c r="E83" s="7">
        <f>Données!J14</f>
        <v>43916</v>
      </c>
      <c r="F83" s="6" t="str">
        <f>INDEX(Données!$F$2:$L$54,MATCH('Portail d''objectifs'!E83,Données!$G$2:$G$54,1),1)</f>
        <v>13</v>
      </c>
      <c r="G83" s="18" t="b">
        <f t="shared" si="4"/>
        <v>0</v>
      </c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1"/>
      <c r="W83" s="75"/>
      <c r="X83" s="75"/>
      <c r="Y83" s="75"/>
      <c r="Z83" s="96">
        <f>SUM(Tableau1[[#This Row],[A-1]:[G-5]])</f>
        <v>0</v>
      </c>
      <c r="AA83" s="96" t="str">
        <f>IF(AND(Z83&gt;0,Tableau1[[#This Row],[CDS]]=""),"Oui","Non")</f>
        <v>Non</v>
      </c>
      <c r="AB83" s="75"/>
      <c r="AC83" s="75"/>
      <c r="AD83" s="75"/>
      <c r="AE83" s="75"/>
      <c r="AF83" s="75"/>
      <c r="AG83" s="75"/>
      <c r="AH83" s="75"/>
      <c r="AI83" s="75"/>
      <c r="AJ83" s="81"/>
      <c r="AK83" s="75"/>
      <c r="AL83" s="75"/>
    </row>
    <row r="84" spans="1:38" hidden="1" x14ac:dyDescent="0.25">
      <c r="A84" s="75"/>
      <c r="B84" s="75"/>
      <c r="C84" s="35">
        <f>INDEX(Données!$F$2:$L$54,MATCH(F84,Données!$F$2:$F$54,0),2)</f>
        <v>43913</v>
      </c>
      <c r="D84" s="29" t="str">
        <f t="shared" si="3"/>
        <v>Veuillez inscrire votre nom</v>
      </c>
      <c r="E84" s="7">
        <f>Données!K14</f>
        <v>43917</v>
      </c>
      <c r="F84" s="6" t="str">
        <f>INDEX(Données!$F$2:$L$54,MATCH('Portail d''objectifs'!E84,Données!$G$2:$G$54,1),1)</f>
        <v>13</v>
      </c>
      <c r="G84" s="18" t="b">
        <f t="shared" si="4"/>
        <v>0</v>
      </c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1"/>
      <c r="W84" s="75"/>
      <c r="X84" s="75"/>
      <c r="Y84" s="75"/>
      <c r="Z84" s="96">
        <f>SUM(Tableau1[[#This Row],[A-1]:[G-5]])</f>
        <v>0</v>
      </c>
      <c r="AA84" s="96" t="str">
        <f>IF(AND(Z84&gt;0,Tableau1[[#This Row],[CDS]]=""),"Oui","Non")</f>
        <v>Non</v>
      </c>
      <c r="AB84" s="75"/>
      <c r="AC84" s="75"/>
      <c r="AD84" s="75"/>
      <c r="AE84" s="75"/>
      <c r="AF84" s="75"/>
      <c r="AG84" s="75"/>
      <c r="AH84" s="75"/>
      <c r="AI84" s="75"/>
      <c r="AJ84" s="81"/>
      <c r="AK84" s="75"/>
      <c r="AL84" s="75"/>
    </row>
    <row r="85" spans="1:38" hidden="1" x14ac:dyDescent="0.25">
      <c r="A85" s="75"/>
      <c r="B85" s="75"/>
      <c r="C85" s="35">
        <f>INDEX(Données!$F$2:$L$54,MATCH(F85,Données!$F$2:$F$54,0),2)</f>
        <v>43913</v>
      </c>
      <c r="D85" s="29" t="str">
        <f t="shared" si="3"/>
        <v>Veuillez inscrire votre nom</v>
      </c>
      <c r="E85" s="7">
        <f>Données!L14</f>
        <v>43918</v>
      </c>
      <c r="F85" s="6" t="str">
        <f>INDEX(Données!$F$2:$L$54,MATCH('Portail d''objectifs'!E85,Données!$G$2:$G$54,1),1)</f>
        <v>13</v>
      </c>
      <c r="G85" s="18" t="b">
        <f t="shared" si="4"/>
        <v>0</v>
      </c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1"/>
      <c r="W85" s="75"/>
      <c r="X85" s="75"/>
      <c r="Y85" s="75"/>
      <c r="Z85" s="96">
        <f>SUM(Tableau1[[#This Row],[A-1]:[G-5]])</f>
        <v>0</v>
      </c>
      <c r="AA85" s="96" t="str">
        <f>IF(AND(Z85&gt;0,Tableau1[[#This Row],[CDS]]=""),"Oui","Non")</f>
        <v>Non</v>
      </c>
      <c r="AB85" s="75"/>
      <c r="AC85" s="75"/>
      <c r="AD85" s="75"/>
      <c r="AE85" s="75"/>
      <c r="AF85" s="75"/>
      <c r="AG85" s="75"/>
      <c r="AH85" s="75"/>
      <c r="AI85" s="75"/>
      <c r="AJ85" s="81"/>
      <c r="AK85" s="75"/>
      <c r="AL85" s="75"/>
    </row>
    <row r="86" spans="1:38" hidden="1" x14ac:dyDescent="0.25">
      <c r="A86" s="75"/>
      <c r="B86" s="75"/>
      <c r="C86" s="35">
        <f>INDEX(Données!$F$2:$L$54,MATCH(F86,Données!$F$2:$F$54,0),2)</f>
        <v>43920</v>
      </c>
      <c r="D86" s="29" t="str">
        <f t="shared" si="3"/>
        <v>Veuillez inscrire votre nom</v>
      </c>
      <c r="E86" s="7">
        <f>Données!G15</f>
        <v>43920</v>
      </c>
      <c r="F86" s="6" t="str">
        <f>INDEX(Données!$F$2:$L$54,MATCH('Portail d''objectifs'!E86,Données!$G$2:$G$54,1),1)</f>
        <v>14</v>
      </c>
      <c r="G86" s="18" t="b">
        <f t="shared" si="4"/>
        <v>0</v>
      </c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1"/>
      <c r="W86" s="75"/>
      <c r="X86" s="75"/>
      <c r="Y86" s="75"/>
      <c r="Z86" s="96">
        <f>SUM(Tableau1[[#This Row],[A-1]:[G-5]])</f>
        <v>0</v>
      </c>
      <c r="AA86" s="96" t="str">
        <f>IF(AND(Z86&gt;0,Tableau1[[#This Row],[CDS]]=""),"Oui","Non")</f>
        <v>Non</v>
      </c>
      <c r="AB86" s="75"/>
      <c r="AC86" s="75"/>
      <c r="AD86" s="75"/>
      <c r="AE86" s="75"/>
      <c r="AF86" s="75"/>
      <c r="AG86" s="75"/>
      <c r="AH86" s="75"/>
      <c r="AI86" s="75"/>
      <c r="AJ86" s="81"/>
      <c r="AK86" s="75"/>
      <c r="AL86" s="75"/>
    </row>
    <row r="87" spans="1:38" hidden="1" x14ac:dyDescent="0.25">
      <c r="A87" s="75"/>
      <c r="B87" s="75"/>
      <c r="C87" s="35">
        <f>INDEX(Données!$F$2:$L$54,MATCH(F87,Données!$F$2:$F$54,0),2)</f>
        <v>43920</v>
      </c>
      <c r="D87" s="29" t="str">
        <f t="shared" si="3"/>
        <v>Veuillez inscrire votre nom</v>
      </c>
      <c r="E87" s="7">
        <f>Données!H15</f>
        <v>43921</v>
      </c>
      <c r="F87" s="6" t="str">
        <f>INDEX(Données!$F$2:$L$54,MATCH('Portail d''objectifs'!E87,Données!$G$2:$G$54,1),1)</f>
        <v>14</v>
      </c>
      <c r="G87" s="18" t="b">
        <f t="shared" si="4"/>
        <v>0</v>
      </c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1"/>
      <c r="W87" s="75"/>
      <c r="X87" s="75"/>
      <c r="Y87" s="75"/>
      <c r="Z87" s="96">
        <f>SUM(Tableau1[[#This Row],[A-1]:[G-5]])</f>
        <v>0</v>
      </c>
      <c r="AA87" s="96" t="str">
        <f>IF(AND(Z87&gt;0,Tableau1[[#This Row],[CDS]]=""),"Oui","Non")</f>
        <v>Non</v>
      </c>
      <c r="AB87" s="75"/>
      <c r="AC87" s="75"/>
      <c r="AD87" s="75"/>
      <c r="AE87" s="75"/>
      <c r="AF87" s="75"/>
      <c r="AG87" s="75"/>
      <c r="AH87" s="75"/>
      <c r="AI87" s="75"/>
      <c r="AJ87" s="81"/>
      <c r="AK87" s="75"/>
      <c r="AL87" s="75"/>
    </row>
    <row r="88" spans="1:38" hidden="1" x14ac:dyDescent="0.25">
      <c r="A88" s="75"/>
      <c r="B88" s="75"/>
      <c r="C88" s="35">
        <f>INDEX(Données!$F$2:$L$54,MATCH(F88,Données!$F$2:$F$54,0),2)</f>
        <v>43920</v>
      </c>
      <c r="D88" s="29" t="str">
        <f t="shared" si="3"/>
        <v>Veuillez inscrire votre nom</v>
      </c>
      <c r="E88" s="7">
        <f>Données!I15</f>
        <v>43922</v>
      </c>
      <c r="F88" s="6" t="str">
        <f>INDEX(Données!$F$2:$L$54,MATCH('Portail d''objectifs'!E88,Données!$G$2:$G$54,1),1)</f>
        <v>14</v>
      </c>
      <c r="G88" s="18" t="b">
        <f t="shared" si="4"/>
        <v>0</v>
      </c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1"/>
      <c r="W88" s="75"/>
      <c r="X88" s="75"/>
      <c r="Y88" s="75"/>
      <c r="Z88" s="96">
        <f>SUM(Tableau1[[#This Row],[A-1]:[G-5]])</f>
        <v>0</v>
      </c>
      <c r="AA88" s="96" t="str">
        <f>IF(AND(Z88&gt;0,Tableau1[[#This Row],[CDS]]=""),"Oui","Non")</f>
        <v>Non</v>
      </c>
      <c r="AB88" s="75"/>
      <c r="AC88" s="75"/>
      <c r="AD88" s="75"/>
      <c r="AE88" s="75"/>
      <c r="AF88" s="75"/>
      <c r="AG88" s="75"/>
      <c r="AH88" s="75"/>
      <c r="AI88" s="75"/>
      <c r="AJ88" s="81"/>
      <c r="AK88" s="75"/>
      <c r="AL88" s="75"/>
    </row>
    <row r="89" spans="1:38" hidden="1" x14ac:dyDescent="0.25">
      <c r="A89" s="75"/>
      <c r="B89" s="75"/>
      <c r="C89" s="35">
        <f>INDEX(Données!$F$2:$L$54,MATCH(F89,Données!$F$2:$F$54,0),2)</f>
        <v>43920</v>
      </c>
      <c r="D89" s="29" t="str">
        <f t="shared" si="3"/>
        <v>Veuillez inscrire votre nom</v>
      </c>
      <c r="E89" s="7">
        <f>Données!J15</f>
        <v>43923</v>
      </c>
      <c r="F89" s="6" t="str">
        <f>INDEX(Données!$F$2:$L$54,MATCH('Portail d''objectifs'!E89,Données!$G$2:$G$54,1),1)</f>
        <v>14</v>
      </c>
      <c r="G89" s="18" t="b">
        <f t="shared" si="4"/>
        <v>0</v>
      </c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1"/>
      <c r="W89" s="75"/>
      <c r="X89" s="75"/>
      <c r="Y89" s="75"/>
      <c r="Z89" s="96">
        <f>SUM(Tableau1[[#This Row],[A-1]:[G-5]])</f>
        <v>0</v>
      </c>
      <c r="AA89" s="96" t="str">
        <f>IF(AND(Z89&gt;0,Tableau1[[#This Row],[CDS]]=""),"Oui","Non")</f>
        <v>Non</v>
      </c>
      <c r="AB89" s="75"/>
      <c r="AC89" s="75"/>
      <c r="AD89" s="75"/>
      <c r="AE89" s="75"/>
      <c r="AF89" s="75"/>
      <c r="AG89" s="75"/>
      <c r="AH89" s="75"/>
      <c r="AI89" s="75"/>
      <c r="AJ89" s="81"/>
      <c r="AK89" s="75"/>
      <c r="AL89" s="75"/>
    </row>
    <row r="90" spans="1:38" hidden="1" x14ac:dyDescent="0.25">
      <c r="A90" s="75"/>
      <c r="B90" s="75"/>
      <c r="C90" s="35">
        <f>INDEX(Données!$F$2:$L$54,MATCH(F90,Données!$F$2:$F$54,0),2)</f>
        <v>43920</v>
      </c>
      <c r="D90" s="29" t="str">
        <f t="shared" si="3"/>
        <v>Veuillez inscrire votre nom</v>
      </c>
      <c r="E90" s="7">
        <f>Données!K15</f>
        <v>43924</v>
      </c>
      <c r="F90" s="6" t="str">
        <f>INDEX(Données!$F$2:$L$54,MATCH('Portail d''objectifs'!E90,Données!$G$2:$G$54,1),1)</f>
        <v>14</v>
      </c>
      <c r="G90" s="18" t="b">
        <f t="shared" si="4"/>
        <v>0</v>
      </c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1"/>
      <c r="W90" s="75"/>
      <c r="X90" s="75"/>
      <c r="Y90" s="75"/>
      <c r="Z90" s="96">
        <f>SUM(Tableau1[[#This Row],[A-1]:[G-5]])</f>
        <v>0</v>
      </c>
      <c r="AA90" s="96" t="str">
        <f>IF(AND(Z90&gt;0,Tableau1[[#This Row],[CDS]]=""),"Oui","Non")</f>
        <v>Non</v>
      </c>
      <c r="AB90" s="75"/>
      <c r="AC90" s="75"/>
      <c r="AD90" s="75"/>
      <c r="AE90" s="75"/>
      <c r="AF90" s="75"/>
      <c r="AG90" s="75"/>
      <c r="AH90" s="75"/>
      <c r="AI90" s="75"/>
      <c r="AJ90" s="81"/>
      <c r="AK90" s="75"/>
      <c r="AL90" s="75"/>
    </row>
    <row r="91" spans="1:38" hidden="1" x14ac:dyDescent="0.25">
      <c r="A91" s="75"/>
      <c r="B91" s="75"/>
      <c r="C91" s="35">
        <f>INDEX(Données!$F$2:$L$54,MATCH(F91,Données!$F$2:$F$54,0),2)</f>
        <v>43920</v>
      </c>
      <c r="D91" s="29" t="str">
        <f t="shared" si="3"/>
        <v>Veuillez inscrire votre nom</v>
      </c>
      <c r="E91" s="7">
        <f>Données!L15</f>
        <v>43925</v>
      </c>
      <c r="F91" s="6" t="str">
        <f>INDEX(Données!$F$2:$L$54,MATCH('Portail d''objectifs'!E91,Données!$G$2:$G$54,1),1)</f>
        <v>14</v>
      </c>
      <c r="G91" s="18" t="b">
        <f t="shared" si="4"/>
        <v>0</v>
      </c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1"/>
      <c r="W91" s="75"/>
      <c r="X91" s="75"/>
      <c r="Y91" s="75"/>
      <c r="Z91" s="96">
        <f>SUM(Tableau1[[#This Row],[A-1]:[G-5]])</f>
        <v>0</v>
      </c>
      <c r="AA91" s="96" t="str">
        <f>IF(AND(Z91&gt;0,Tableau1[[#This Row],[CDS]]=""),"Oui","Non")</f>
        <v>Non</v>
      </c>
      <c r="AB91" s="75"/>
      <c r="AC91" s="75"/>
      <c r="AD91" s="75"/>
      <c r="AE91" s="75"/>
      <c r="AF91" s="75"/>
      <c r="AG91" s="75"/>
      <c r="AH91" s="75"/>
      <c r="AI91" s="75"/>
      <c r="AJ91" s="81"/>
      <c r="AK91" s="75"/>
      <c r="AL91" s="75"/>
    </row>
    <row r="92" spans="1:38" hidden="1" x14ac:dyDescent="0.25">
      <c r="A92" s="75"/>
      <c r="B92" s="75"/>
      <c r="C92" s="35">
        <f>INDEX(Données!$F$2:$L$54,MATCH(F92,Données!$F$2:$F$54,0),2)</f>
        <v>43927</v>
      </c>
      <c r="D92" s="29" t="str">
        <f t="shared" si="3"/>
        <v>Veuillez inscrire votre nom</v>
      </c>
      <c r="E92" s="7">
        <f>Données!G16</f>
        <v>43927</v>
      </c>
      <c r="F92" s="6" t="str">
        <f>INDEX(Données!$F$2:$L$54,MATCH('Portail d''objectifs'!E92,Données!$G$2:$G$54,1),1)</f>
        <v>15</v>
      </c>
      <c r="G92" s="18" t="b">
        <f t="shared" si="4"/>
        <v>0</v>
      </c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1"/>
      <c r="W92" s="75"/>
      <c r="X92" s="75"/>
      <c r="Y92" s="75"/>
      <c r="Z92" s="96">
        <f>SUM(Tableau1[[#This Row],[A-1]:[G-5]])</f>
        <v>0</v>
      </c>
      <c r="AA92" s="96" t="str">
        <f>IF(AND(Z92&gt;0,Tableau1[[#This Row],[CDS]]=""),"Oui","Non")</f>
        <v>Non</v>
      </c>
      <c r="AB92" s="75"/>
      <c r="AC92" s="75"/>
      <c r="AD92" s="75"/>
      <c r="AE92" s="75"/>
      <c r="AF92" s="75"/>
      <c r="AG92" s="75"/>
      <c r="AH92" s="75"/>
      <c r="AI92" s="75"/>
      <c r="AJ92" s="81"/>
      <c r="AK92" s="75"/>
      <c r="AL92" s="75"/>
    </row>
    <row r="93" spans="1:38" hidden="1" x14ac:dyDescent="0.25">
      <c r="A93" s="75"/>
      <c r="B93" s="75"/>
      <c r="C93" s="35">
        <f>INDEX(Données!$F$2:$L$54,MATCH(F93,Données!$F$2:$F$54,0),2)</f>
        <v>43927</v>
      </c>
      <c r="D93" s="29" t="str">
        <f t="shared" si="3"/>
        <v>Veuillez inscrire votre nom</v>
      </c>
      <c r="E93" s="7">
        <f>Données!H16</f>
        <v>43928</v>
      </c>
      <c r="F93" s="6" t="str">
        <f>INDEX(Données!$F$2:$L$54,MATCH('Portail d''objectifs'!E93,Données!$G$2:$G$54,1),1)</f>
        <v>15</v>
      </c>
      <c r="G93" s="18" t="b">
        <f t="shared" si="4"/>
        <v>0</v>
      </c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1"/>
      <c r="W93" s="75"/>
      <c r="X93" s="75"/>
      <c r="Y93" s="75"/>
      <c r="Z93" s="96">
        <f>SUM(Tableau1[[#This Row],[A-1]:[G-5]])</f>
        <v>0</v>
      </c>
      <c r="AA93" s="96" t="str">
        <f>IF(AND(Z93&gt;0,Tableau1[[#This Row],[CDS]]=""),"Oui","Non")</f>
        <v>Non</v>
      </c>
      <c r="AB93" s="75"/>
      <c r="AC93" s="75"/>
      <c r="AD93" s="75"/>
      <c r="AE93" s="75"/>
      <c r="AF93" s="75"/>
      <c r="AG93" s="75"/>
      <c r="AH93" s="75"/>
      <c r="AI93" s="75"/>
      <c r="AJ93" s="81"/>
      <c r="AK93" s="75"/>
      <c r="AL93" s="75"/>
    </row>
    <row r="94" spans="1:38" hidden="1" x14ac:dyDescent="0.25">
      <c r="A94" s="75"/>
      <c r="B94" s="75"/>
      <c r="C94" s="35">
        <f>INDEX(Données!$F$2:$L$54,MATCH(F94,Données!$F$2:$F$54,0),2)</f>
        <v>43927</v>
      </c>
      <c r="D94" s="29" t="str">
        <f t="shared" si="3"/>
        <v>Veuillez inscrire votre nom</v>
      </c>
      <c r="E94" s="7">
        <f>Données!I16</f>
        <v>43929</v>
      </c>
      <c r="F94" s="6" t="str">
        <f>INDEX(Données!$F$2:$L$54,MATCH('Portail d''objectifs'!E94,Données!$G$2:$G$54,1),1)</f>
        <v>15</v>
      </c>
      <c r="G94" s="18" t="b">
        <f t="shared" si="4"/>
        <v>0</v>
      </c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1"/>
      <c r="W94" s="75"/>
      <c r="X94" s="75"/>
      <c r="Y94" s="75"/>
      <c r="Z94" s="96">
        <f>SUM(Tableau1[[#This Row],[A-1]:[G-5]])</f>
        <v>0</v>
      </c>
      <c r="AA94" s="96" t="str">
        <f>IF(AND(Z94&gt;0,Tableau1[[#This Row],[CDS]]=""),"Oui","Non")</f>
        <v>Non</v>
      </c>
      <c r="AB94" s="75"/>
      <c r="AC94" s="75"/>
      <c r="AD94" s="75"/>
      <c r="AE94" s="75"/>
      <c r="AF94" s="75"/>
      <c r="AG94" s="75"/>
      <c r="AH94" s="75"/>
      <c r="AI94" s="75"/>
      <c r="AJ94" s="81"/>
      <c r="AK94" s="75"/>
      <c r="AL94" s="75"/>
    </row>
    <row r="95" spans="1:38" hidden="1" x14ac:dyDescent="0.25">
      <c r="A95" s="75"/>
      <c r="B95" s="75"/>
      <c r="C95" s="35">
        <f>INDEX(Données!$F$2:$L$54,MATCH(F95,Données!$F$2:$F$54,0),2)</f>
        <v>43927</v>
      </c>
      <c r="D95" s="29" t="str">
        <f t="shared" si="3"/>
        <v>Veuillez inscrire votre nom</v>
      </c>
      <c r="E95" s="7">
        <f>Données!J16</f>
        <v>43930</v>
      </c>
      <c r="F95" s="6" t="str">
        <f>INDEX(Données!$F$2:$L$54,MATCH('Portail d''objectifs'!E95,Données!$G$2:$G$54,1),1)</f>
        <v>15</v>
      </c>
      <c r="G95" s="18" t="b">
        <f t="shared" si="4"/>
        <v>0</v>
      </c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1"/>
      <c r="W95" s="75"/>
      <c r="X95" s="75"/>
      <c r="Y95" s="75"/>
      <c r="Z95" s="96">
        <f>SUM(Tableau1[[#This Row],[A-1]:[G-5]])</f>
        <v>0</v>
      </c>
      <c r="AA95" s="96" t="str">
        <f>IF(AND(Z95&gt;0,Tableau1[[#This Row],[CDS]]=""),"Oui","Non")</f>
        <v>Non</v>
      </c>
      <c r="AB95" s="75"/>
      <c r="AC95" s="75"/>
      <c r="AD95" s="75"/>
      <c r="AE95" s="75"/>
      <c r="AF95" s="75"/>
      <c r="AG95" s="75"/>
      <c r="AH95" s="75"/>
      <c r="AI95" s="75"/>
      <c r="AJ95" s="81"/>
      <c r="AK95" s="75"/>
      <c r="AL95" s="75"/>
    </row>
    <row r="96" spans="1:38" hidden="1" x14ac:dyDescent="0.25">
      <c r="A96" s="75"/>
      <c r="B96" s="75"/>
      <c r="C96" s="35">
        <f>INDEX(Données!$F$2:$L$54,MATCH(F96,Données!$F$2:$F$54,0),2)</f>
        <v>43927</v>
      </c>
      <c r="D96" s="29" t="str">
        <f t="shared" si="3"/>
        <v>Veuillez inscrire votre nom</v>
      </c>
      <c r="E96" s="7">
        <f>Données!K16</f>
        <v>43931</v>
      </c>
      <c r="F96" s="6" t="str">
        <f>INDEX(Données!$F$2:$L$54,MATCH('Portail d''objectifs'!E96,Données!$G$2:$G$54,1),1)</f>
        <v>15</v>
      </c>
      <c r="G96" s="18" t="b">
        <f t="shared" si="4"/>
        <v>0</v>
      </c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1"/>
      <c r="W96" s="75"/>
      <c r="X96" s="75"/>
      <c r="Y96" s="75"/>
      <c r="Z96" s="96">
        <f>SUM(Tableau1[[#This Row],[A-1]:[G-5]])</f>
        <v>0</v>
      </c>
      <c r="AA96" s="96" t="str">
        <f>IF(AND(Z96&gt;0,Tableau1[[#This Row],[CDS]]=""),"Oui","Non")</f>
        <v>Non</v>
      </c>
      <c r="AB96" s="75"/>
      <c r="AC96" s="75"/>
      <c r="AD96" s="75"/>
      <c r="AE96" s="75"/>
      <c r="AF96" s="75"/>
      <c r="AG96" s="75"/>
      <c r="AH96" s="75"/>
      <c r="AI96" s="75"/>
      <c r="AJ96" s="81"/>
      <c r="AK96" s="75"/>
      <c r="AL96" s="75"/>
    </row>
    <row r="97" spans="1:38" hidden="1" x14ac:dyDescent="0.25">
      <c r="A97" s="75"/>
      <c r="B97" s="75"/>
      <c r="C97" s="35">
        <f>INDEX(Données!$F$2:$L$54,MATCH(F97,Données!$F$2:$F$54,0),2)</f>
        <v>43927</v>
      </c>
      <c r="D97" s="29" t="str">
        <f t="shared" si="3"/>
        <v>Veuillez inscrire votre nom</v>
      </c>
      <c r="E97" s="7">
        <f>Données!L16</f>
        <v>43932</v>
      </c>
      <c r="F97" s="6" t="str">
        <f>INDEX(Données!$F$2:$L$54,MATCH('Portail d''objectifs'!E97,Données!$G$2:$G$54,1),1)</f>
        <v>15</v>
      </c>
      <c r="G97" s="18" t="b">
        <f t="shared" si="4"/>
        <v>0</v>
      </c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1"/>
      <c r="W97" s="75"/>
      <c r="X97" s="75"/>
      <c r="Y97" s="75"/>
      <c r="Z97" s="96">
        <f>SUM(Tableau1[[#This Row],[A-1]:[G-5]])</f>
        <v>0</v>
      </c>
      <c r="AA97" s="96" t="str">
        <f>IF(AND(Z97&gt;0,Tableau1[[#This Row],[CDS]]=""),"Oui","Non")</f>
        <v>Non</v>
      </c>
      <c r="AB97" s="75"/>
      <c r="AC97" s="75"/>
      <c r="AD97" s="75"/>
      <c r="AE97" s="75"/>
      <c r="AF97" s="75"/>
      <c r="AG97" s="75"/>
      <c r="AH97" s="75"/>
      <c r="AI97" s="75"/>
      <c r="AJ97" s="81"/>
      <c r="AK97" s="75"/>
      <c r="AL97" s="75"/>
    </row>
    <row r="98" spans="1:38" hidden="1" x14ac:dyDescent="0.25">
      <c r="A98" s="75"/>
      <c r="B98" s="75"/>
      <c r="C98" s="35">
        <f>INDEX(Données!$F$2:$L$54,MATCH(F98,Données!$F$2:$F$54,0),2)</f>
        <v>43934</v>
      </c>
      <c r="D98" s="29" t="str">
        <f t="shared" si="3"/>
        <v>Veuillez inscrire votre nom</v>
      </c>
      <c r="E98" s="7">
        <f>Données!G17</f>
        <v>43934</v>
      </c>
      <c r="F98" s="6" t="str">
        <f>INDEX(Données!$F$2:$L$54,MATCH('Portail d''objectifs'!E98,Données!$G$2:$G$54,1),1)</f>
        <v>16</v>
      </c>
      <c r="G98" s="18" t="b">
        <f t="shared" si="4"/>
        <v>0</v>
      </c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1"/>
      <c r="W98" s="75"/>
      <c r="X98" s="75"/>
      <c r="Y98" s="75"/>
      <c r="Z98" s="96">
        <f>SUM(Tableau1[[#This Row],[A-1]:[G-5]])</f>
        <v>0</v>
      </c>
      <c r="AA98" s="96" t="str">
        <f>IF(AND(Z98&gt;0,Tableau1[[#This Row],[CDS]]=""),"Oui","Non")</f>
        <v>Non</v>
      </c>
      <c r="AB98" s="75"/>
      <c r="AC98" s="75"/>
      <c r="AD98" s="75"/>
      <c r="AE98" s="75"/>
      <c r="AF98" s="75"/>
      <c r="AG98" s="75"/>
      <c r="AH98" s="75"/>
      <c r="AI98" s="75"/>
      <c r="AJ98" s="81"/>
      <c r="AK98" s="75"/>
      <c r="AL98" s="75"/>
    </row>
    <row r="99" spans="1:38" hidden="1" x14ac:dyDescent="0.25">
      <c r="A99" s="75"/>
      <c r="B99" s="75"/>
      <c r="C99" s="35">
        <f>INDEX(Données!$F$2:$L$54,MATCH(F99,Données!$F$2:$F$54,0),2)</f>
        <v>43934</v>
      </c>
      <c r="D99" s="29" t="str">
        <f t="shared" si="3"/>
        <v>Veuillez inscrire votre nom</v>
      </c>
      <c r="E99" s="7">
        <f>Données!H17</f>
        <v>43935</v>
      </c>
      <c r="F99" s="6" t="str">
        <f>INDEX(Données!$F$2:$L$54,MATCH('Portail d''objectifs'!E99,Données!$G$2:$G$54,1),1)</f>
        <v>16</v>
      </c>
      <c r="G99" s="18" t="b">
        <f t="shared" si="4"/>
        <v>0</v>
      </c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1"/>
      <c r="W99" s="75"/>
      <c r="X99" s="75"/>
      <c r="Y99" s="75"/>
      <c r="Z99" s="96">
        <f>SUM(Tableau1[[#This Row],[A-1]:[G-5]])</f>
        <v>0</v>
      </c>
      <c r="AA99" s="96" t="str">
        <f>IF(AND(Z99&gt;0,Tableau1[[#This Row],[CDS]]=""),"Oui","Non")</f>
        <v>Non</v>
      </c>
      <c r="AB99" s="75"/>
      <c r="AC99" s="75"/>
      <c r="AD99" s="75"/>
      <c r="AE99" s="75"/>
      <c r="AF99" s="75"/>
      <c r="AG99" s="75"/>
      <c r="AH99" s="75"/>
      <c r="AI99" s="75"/>
      <c r="AJ99" s="81"/>
      <c r="AK99" s="75"/>
      <c r="AL99" s="75"/>
    </row>
    <row r="100" spans="1:38" hidden="1" x14ac:dyDescent="0.25">
      <c r="A100" s="75"/>
      <c r="B100" s="75"/>
      <c r="C100" s="35">
        <f>INDEX(Données!$F$2:$L$54,MATCH(F100,Données!$F$2:$F$54,0),2)</f>
        <v>43934</v>
      </c>
      <c r="D100" s="29" t="str">
        <f t="shared" si="3"/>
        <v>Veuillez inscrire votre nom</v>
      </c>
      <c r="E100" s="7">
        <f>Données!I17</f>
        <v>43936</v>
      </c>
      <c r="F100" s="6" t="str">
        <f>INDEX(Données!$F$2:$L$54,MATCH('Portail d''objectifs'!E100,Données!$G$2:$G$54,1),1)</f>
        <v>16</v>
      </c>
      <c r="G100" s="18" t="b">
        <f t="shared" si="4"/>
        <v>0</v>
      </c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1"/>
      <c r="W100" s="75"/>
      <c r="X100" s="75"/>
      <c r="Y100" s="75"/>
      <c r="Z100" s="96">
        <f>SUM(Tableau1[[#This Row],[A-1]:[G-5]])</f>
        <v>0</v>
      </c>
      <c r="AA100" s="96" t="str">
        <f>IF(AND(Z100&gt;0,Tableau1[[#This Row],[CDS]]=""),"Oui","Non")</f>
        <v>Non</v>
      </c>
      <c r="AB100" s="75"/>
      <c r="AC100" s="75"/>
      <c r="AD100" s="75"/>
      <c r="AE100" s="75"/>
      <c r="AF100" s="75"/>
      <c r="AG100" s="75"/>
      <c r="AH100" s="75"/>
      <c r="AI100" s="75"/>
      <c r="AJ100" s="81"/>
      <c r="AK100" s="75"/>
      <c r="AL100" s="75"/>
    </row>
    <row r="101" spans="1:38" hidden="1" x14ac:dyDescent="0.25">
      <c r="A101" s="75"/>
      <c r="B101" s="75"/>
      <c r="C101" s="35">
        <f>INDEX(Données!$F$2:$L$54,MATCH(F101,Données!$F$2:$F$54,0),2)</f>
        <v>43934</v>
      </c>
      <c r="D101" s="29" t="str">
        <f t="shared" si="3"/>
        <v>Veuillez inscrire votre nom</v>
      </c>
      <c r="E101" s="7">
        <f>Données!J17</f>
        <v>43937</v>
      </c>
      <c r="F101" s="6" t="str">
        <f>INDEX(Données!$F$2:$L$54,MATCH('Portail d''objectifs'!E101,Données!$G$2:$G$54,1),1)</f>
        <v>16</v>
      </c>
      <c r="G101" s="18" t="b">
        <f t="shared" si="4"/>
        <v>0</v>
      </c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1"/>
      <c r="W101" s="75"/>
      <c r="X101" s="75"/>
      <c r="Y101" s="75"/>
      <c r="Z101" s="96">
        <f>SUM(Tableau1[[#This Row],[A-1]:[G-5]])</f>
        <v>0</v>
      </c>
      <c r="AA101" s="96" t="str">
        <f>IF(AND(Z101&gt;0,Tableau1[[#This Row],[CDS]]=""),"Oui","Non")</f>
        <v>Non</v>
      </c>
      <c r="AB101" s="75"/>
      <c r="AC101" s="75"/>
      <c r="AD101" s="75"/>
      <c r="AE101" s="75"/>
      <c r="AF101" s="75"/>
      <c r="AG101" s="75"/>
      <c r="AH101" s="75"/>
      <c r="AI101" s="75"/>
      <c r="AJ101" s="81"/>
      <c r="AK101" s="75"/>
      <c r="AL101" s="75"/>
    </row>
    <row r="102" spans="1:38" hidden="1" x14ac:dyDescent="0.25">
      <c r="A102" s="75"/>
      <c r="B102" s="75"/>
      <c r="C102" s="35">
        <f>INDEX(Données!$F$2:$L$54,MATCH(F102,Données!$F$2:$F$54,0),2)</f>
        <v>43934</v>
      </c>
      <c r="D102" s="29" t="str">
        <f t="shared" si="3"/>
        <v>Veuillez inscrire votre nom</v>
      </c>
      <c r="E102" s="7">
        <f>Données!K17</f>
        <v>43938</v>
      </c>
      <c r="F102" s="6" t="str">
        <f>INDEX(Données!$F$2:$L$54,MATCH('Portail d''objectifs'!E102,Données!$G$2:$G$54,1),1)</f>
        <v>16</v>
      </c>
      <c r="G102" s="18" t="b">
        <f t="shared" si="4"/>
        <v>0</v>
      </c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1"/>
      <c r="W102" s="75"/>
      <c r="X102" s="75"/>
      <c r="Y102" s="75"/>
      <c r="Z102" s="96">
        <f>SUM(Tableau1[[#This Row],[A-1]:[G-5]])</f>
        <v>0</v>
      </c>
      <c r="AA102" s="96" t="str">
        <f>IF(AND(Z102&gt;0,Tableau1[[#This Row],[CDS]]=""),"Oui","Non")</f>
        <v>Non</v>
      </c>
      <c r="AB102" s="75"/>
      <c r="AC102" s="75"/>
      <c r="AD102" s="75"/>
      <c r="AE102" s="75"/>
      <c r="AF102" s="75"/>
      <c r="AG102" s="75"/>
      <c r="AH102" s="75"/>
      <c r="AI102" s="75"/>
      <c r="AJ102" s="81"/>
      <c r="AK102" s="75"/>
      <c r="AL102" s="75"/>
    </row>
    <row r="103" spans="1:38" hidden="1" x14ac:dyDescent="0.25">
      <c r="A103" s="75"/>
      <c r="B103" s="75"/>
      <c r="C103" s="35">
        <f>INDEX(Données!$F$2:$L$54,MATCH(F103,Données!$F$2:$F$54,0),2)</f>
        <v>43934</v>
      </c>
      <c r="D103" s="29" t="str">
        <f t="shared" si="3"/>
        <v>Veuillez inscrire votre nom</v>
      </c>
      <c r="E103" s="7">
        <f>Données!L17</f>
        <v>43939</v>
      </c>
      <c r="F103" s="6" t="str">
        <f>INDEX(Données!$F$2:$L$54,MATCH('Portail d''objectifs'!E103,Données!$G$2:$G$54,1),1)</f>
        <v>16</v>
      </c>
      <c r="G103" s="18" t="b">
        <f t="shared" si="4"/>
        <v>0</v>
      </c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1"/>
      <c r="W103" s="75"/>
      <c r="X103" s="75"/>
      <c r="Y103" s="75"/>
      <c r="Z103" s="96">
        <f>SUM(Tableau1[[#This Row],[A-1]:[G-5]])</f>
        <v>0</v>
      </c>
      <c r="AA103" s="96" t="str">
        <f>IF(AND(Z103&gt;0,Tableau1[[#This Row],[CDS]]=""),"Oui","Non")</f>
        <v>Non</v>
      </c>
      <c r="AB103" s="75"/>
      <c r="AC103" s="75"/>
      <c r="AD103" s="75"/>
      <c r="AE103" s="75"/>
      <c r="AF103" s="75"/>
      <c r="AG103" s="75"/>
      <c r="AH103" s="75"/>
      <c r="AI103" s="75"/>
      <c r="AJ103" s="81"/>
      <c r="AK103" s="75"/>
      <c r="AL103" s="75"/>
    </row>
    <row r="104" spans="1:38" hidden="1" x14ac:dyDescent="0.25">
      <c r="A104" s="75"/>
      <c r="B104" s="75"/>
      <c r="C104" s="35">
        <f>INDEX(Données!$F$2:$L$54,MATCH(F104,Données!$F$2:$F$54,0),2)</f>
        <v>43941</v>
      </c>
      <c r="D104" s="29" t="str">
        <f t="shared" si="3"/>
        <v>Veuillez inscrire votre nom</v>
      </c>
      <c r="E104" s="7">
        <f>Données!G18</f>
        <v>43941</v>
      </c>
      <c r="F104" s="6" t="str">
        <f>INDEX(Données!$F$2:$L$54,MATCH('Portail d''objectifs'!E104,Données!$G$2:$G$54,1),1)</f>
        <v>17</v>
      </c>
      <c r="G104" s="18" t="b">
        <f t="shared" si="4"/>
        <v>0</v>
      </c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1"/>
      <c r="W104" s="75"/>
      <c r="X104" s="75"/>
      <c r="Y104" s="75"/>
      <c r="Z104" s="96">
        <f>SUM(Tableau1[[#This Row],[A-1]:[G-5]])</f>
        <v>0</v>
      </c>
      <c r="AA104" s="96" t="str">
        <f>IF(AND(Z104&gt;0,Tableau1[[#This Row],[CDS]]=""),"Oui","Non")</f>
        <v>Non</v>
      </c>
      <c r="AB104" s="75"/>
      <c r="AC104" s="75"/>
      <c r="AD104" s="75"/>
      <c r="AE104" s="75"/>
      <c r="AF104" s="75"/>
      <c r="AG104" s="75"/>
      <c r="AH104" s="75"/>
      <c r="AI104" s="75"/>
      <c r="AJ104" s="81"/>
      <c r="AK104" s="75"/>
      <c r="AL104" s="75"/>
    </row>
    <row r="105" spans="1:38" hidden="1" x14ac:dyDescent="0.25">
      <c r="A105" s="75"/>
      <c r="B105" s="75"/>
      <c r="C105" s="35">
        <f>INDEX(Données!$F$2:$L$54,MATCH(F105,Données!$F$2:$F$54,0),2)</f>
        <v>43941</v>
      </c>
      <c r="D105" s="29" t="str">
        <f t="shared" si="3"/>
        <v>Veuillez inscrire votre nom</v>
      </c>
      <c r="E105" s="7">
        <f>Données!H18</f>
        <v>43942</v>
      </c>
      <c r="F105" s="6" t="str">
        <f>INDEX(Données!$F$2:$L$54,MATCH('Portail d''objectifs'!E105,Données!$G$2:$G$54,1),1)</f>
        <v>17</v>
      </c>
      <c r="G105" s="18" t="b">
        <f t="shared" si="4"/>
        <v>0</v>
      </c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1"/>
      <c r="W105" s="75"/>
      <c r="X105" s="75"/>
      <c r="Y105" s="75"/>
      <c r="Z105" s="96">
        <f>SUM(Tableau1[[#This Row],[A-1]:[G-5]])</f>
        <v>0</v>
      </c>
      <c r="AA105" s="96" t="str">
        <f>IF(AND(Z105&gt;0,Tableau1[[#This Row],[CDS]]=""),"Oui","Non")</f>
        <v>Non</v>
      </c>
      <c r="AB105" s="75"/>
      <c r="AC105" s="75"/>
      <c r="AD105" s="75"/>
      <c r="AE105" s="75"/>
      <c r="AF105" s="75"/>
      <c r="AG105" s="75"/>
      <c r="AH105" s="75"/>
      <c r="AI105" s="75"/>
      <c r="AJ105" s="81"/>
      <c r="AK105" s="75"/>
      <c r="AL105" s="75"/>
    </row>
    <row r="106" spans="1:38" hidden="1" x14ac:dyDescent="0.25">
      <c r="A106" s="75"/>
      <c r="B106" s="75"/>
      <c r="C106" s="35">
        <f>INDEX(Données!$F$2:$L$54,MATCH(F106,Données!$F$2:$F$54,0),2)</f>
        <v>43941</v>
      </c>
      <c r="D106" s="29" t="str">
        <f t="shared" si="3"/>
        <v>Veuillez inscrire votre nom</v>
      </c>
      <c r="E106" s="7">
        <f>Données!I18</f>
        <v>43943</v>
      </c>
      <c r="F106" s="6" t="str">
        <f>INDEX(Données!$F$2:$L$54,MATCH('Portail d''objectifs'!E106,Données!$G$2:$G$54,1),1)</f>
        <v>17</v>
      </c>
      <c r="G106" s="18" t="b">
        <f t="shared" si="4"/>
        <v>0</v>
      </c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1"/>
      <c r="W106" s="75"/>
      <c r="X106" s="75"/>
      <c r="Y106" s="75"/>
      <c r="Z106" s="96">
        <f>SUM(Tableau1[[#This Row],[A-1]:[G-5]])</f>
        <v>0</v>
      </c>
      <c r="AA106" s="96" t="str">
        <f>IF(AND(Z106&gt;0,Tableau1[[#This Row],[CDS]]=""),"Oui","Non")</f>
        <v>Non</v>
      </c>
      <c r="AB106" s="75"/>
      <c r="AC106" s="75"/>
      <c r="AD106" s="75"/>
      <c r="AE106" s="75"/>
      <c r="AF106" s="75"/>
      <c r="AG106" s="75"/>
      <c r="AH106" s="75"/>
      <c r="AI106" s="75"/>
      <c r="AJ106" s="81"/>
      <c r="AK106" s="75"/>
      <c r="AL106" s="75"/>
    </row>
    <row r="107" spans="1:38" hidden="1" x14ac:dyDescent="0.25">
      <c r="A107" s="75"/>
      <c r="B107" s="75"/>
      <c r="C107" s="35">
        <f>INDEX(Données!$F$2:$L$54,MATCH(F107,Données!$F$2:$F$54,0),2)</f>
        <v>43941</v>
      </c>
      <c r="D107" s="29" t="str">
        <f t="shared" si="3"/>
        <v>Veuillez inscrire votre nom</v>
      </c>
      <c r="E107" s="7">
        <f>Données!J18</f>
        <v>43944</v>
      </c>
      <c r="F107" s="6" t="str">
        <f>INDEX(Données!$F$2:$L$54,MATCH('Portail d''objectifs'!E107,Données!$G$2:$G$54,1),1)</f>
        <v>17</v>
      </c>
      <c r="G107" s="18" t="b">
        <f t="shared" si="4"/>
        <v>0</v>
      </c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1"/>
      <c r="W107" s="75"/>
      <c r="X107" s="75"/>
      <c r="Y107" s="75"/>
      <c r="Z107" s="96">
        <f>SUM(Tableau1[[#This Row],[A-1]:[G-5]])</f>
        <v>0</v>
      </c>
      <c r="AA107" s="96" t="str">
        <f>IF(AND(Z107&gt;0,Tableau1[[#This Row],[CDS]]=""),"Oui","Non")</f>
        <v>Non</v>
      </c>
      <c r="AB107" s="75"/>
      <c r="AC107" s="75"/>
      <c r="AD107" s="75"/>
      <c r="AE107" s="75"/>
      <c r="AF107" s="75"/>
      <c r="AG107" s="75"/>
      <c r="AH107" s="75"/>
      <c r="AI107" s="75"/>
      <c r="AJ107" s="81"/>
      <c r="AK107" s="75"/>
      <c r="AL107" s="75"/>
    </row>
    <row r="108" spans="1:38" hidden="1" x14ac:dyDescent="0.25">
      <c r="A108" s="75"/>
      <c r="B108" s="75"/>
      <c r="C108" s="35">
        <f>INDEX(Données!$F$2:$L$54,MATCH(F108,Données!$F$2:$F$54,0),2)</f>
        <v>43941</v>
      </c>
      <c r="D108" s="29" t="str">
        <f t="shared" si="3"/>
        <v>Veuillez inscrire votre nom</v>
      </c>
      <c r="E108" s="7">
        <f>Données!K18</f>
        <v>43945</v>
      </c>
      <c r="F108" s="6" t="str">
        <f>INDEX(Données!$F$2:$L$54,MATCH('Portail d''objectifs'!E108,Données!$G$2:$G$54,1),1)</f>
        <v>17</v>
      </c>
      <c r="G108" s="18" t="b">
        <f t="shared" si="4"/>
        <v>0</v>
      </c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1"/>
      <c r="W108" s="75"/>
      <c r="X108" s="75"/>
      <c r="Y108" s="75"/>
      <c r="Z108" s="96">
        <f>SUM(Tableau1[[#This Row],[A-1]:[G-5]])</f>
        <v>0</v>
      </c>
      <c r="AA108" s="96" t="str">
        <f>IF(AND(Z108&gt;0,Tableau1[[#This Row],[CDS]]=""),"Oui","Non")</f>
        <v>Non</v>
      </c>
      <c r="AB108" s="75"/>
      <c r="AC108" s="75"/>
      <c r="AD108" s="75"/>
      <c r="AE108" s="75"/>
      <c r="AF108" s="75"/>
      <c r="AG108" s="75"/>
      <c r="AH108" s="75"/>
      <c r="AI108" s="75"/>
      <c r="AJ108" s="81"/>
      <c r="AK108" s="75"/>
      <c r="AL108" s="75"/>
    </row>
    <row r="109" spans="1:38" hidden="1" x14ac:dyDescent="0.25">
      <c r="A109" s="75"/>
      <c r="B109" s="75"/>
      <c r="C109" s="35">
        <f>INDEX(Données!$F$2:$L$54,MATCH(F109,Données!$F$2:$F$54,0),2)</f>
        <v>43941</v>
      </c>
      <c r="D109" s="29" t="str">
        <f t="shared" si="3"/>
        <v>Veuillez inscrire votre nom</v>
      </c>
      <c r="E109" s="7">
        <f>Données!L18</f>
        <v>43946</v>
      </c>
      <c r="F109" s="6" t="str">
        <f>INDEX(Données!$F$2:$L$54,MATCH('Portail d''objectifs'!E109,Données!$G$2:$G$54,1),1)</f>
        <v>17</v>
      </c>
      <c r="G109" s="18" t="b">
        <f t="shared" si="4"/>
        <v>0</v>
      </c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1"/>
      <c r="W109" s="75"/>
      <c r="X109" s="75"/>
      <c r="Y109" s="75"/>
      <c r="Z109" s="96">
        <f>SUM(Tableau1[[#This Row],[A-1]:[G-5]])</f>
        <v>0</v>
      </c>
      <c r="AA109" s="96" t="str">
        <f>IF(AND(Z109&gt;0,Tableau1[[#This Row],[CDS]]=""),"Oui","Non")</f>
        <v>Non</v>
      </c>
      <c r="AB109" s="75"/>
      <c r="AC109" s="75"/>
      <c r="AD109" s="75"/>
      <c r="AE109" s="75"/>
      <c r="AF109" s="75"/>
      <c r="AG109" s="75"/>
      <c r="AH109" s="75"/>
      <c r="AI109" s="75"/>
      <c r="AJ109" s="81"/>
      <c r="AK109" s="75"/>
      <c r="AL109" s="75"/>
    </row>
    <row r="110" spans="1:38" hidden="1" x14ac:dyDescent="0.25">
      <c r="A110" s="75"/>
      <c r="B110" s="75"/>
      <c r="C110" s="35">
        <f>INDEX(Données!$F$2:$L$54,MATCH(F110,Données!$F$2:$F$54,0),2)</f>
        <v>43948</v>
      </c>
      <c r="D110" s="29" t="str">
        <f t="shared" si="3"/>
        <v>Veuillez inscrire votre nom</v>
      </c>
      <c r="E110" s="7">
        <f>Données!G19</f>
        <v>43948</v>
      </c>
      <c r="F110" s="6" t="str">
        <f>INDEX(Données!$F$2:$L$54,MATCH('Portail d''objectifs'!E110,Données!$G$2:$G$54,1),1)</f>
        <v>18</v>
      </c>
      <c r="G110" s="18" t="b">
        <f t="shared" si="4"/>
        <v>0</v>
      </c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1"/>
      <c r="W110" s="75"/>
      <c r="X110" s="75"/>
      <c r="Y110" s="75"/>
      <c r="Z110" s="96">
        <f>SUM(Tableau1[[#This Row],[A-1]:[G-5]])</f>
        <v>0</v>
      </c>
      <c r="AA110" s="96" t="str">
        <f>IF(AND(Z110&gt;0,Tableau1[[#This Row],[CDS]]=""),"Oui","Non")</f>
        <v>Non</v>
      </c>
      <c r="AB110" s="75"/>
      <c r="AC110" s="75"/>
      <c r="AD110" s="75"/>
      <c r="AE110" s="75"/>
      <c r="AF110" s="75"/>
      <c r="AG110" s="75"/>
      <c r="AH110" s="75"/>
      <c r="AI110" s="75"/>
      <c r="AJ110" s="81"/>
      <c r="AK110" s="75"/>
      <c r="AL110" s="75"/>
    </row>
    <row r="111" spans="1:38" hidden="1" x14ac:dyDescent="0.25">
      <c r="A111" s="75"/>
      <c r="B111" s="75"/>
      <c r="C111" s="35">
        <f>INDEX(Données!$F$2:$L$54,MATCH(F111,Données!$F$2:$F$54,0),2)</f>
        <v>43948</v>
      </c>
      <c r="D111" s="29" t="str">
        <f t="shared" si="3"/>
        <v>Veuillez inscrire votre nom</v>
      </c>
      <c r="E111" s="7">
        <f>Données!H19</f>
        <v>43949</v>
      </c>
      <c r="F111" s="6" t="str">
        <f>INDEX(Données!$F$2:$L$54,MATCH('Portail d''objectifs'!E111,Données!$G$2:$G$54,1),1)</f>
        <v>18</v>
      </c>
      <c r="G111" s="18" t="b">
        <f t="shared" si="4"/>
        <v>0</v>
      </c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1"/>
      <c r="W111" s="75"/>
      <c r="X111" s="75"/>
      <c r="Y111" s="75"/>
      <c r="Z111" s="96">
        <f>SUM(Tableau1[[#This Row],[A-1]:[G-5]])</f>
        <v>0</v>
      </c>
      <c r="AA111" s="96" t="str">
        <f>IF(AND(Z111&gt;0,Tableau1[[#This Row],[CDS]]=""),"Oui","Non")</f>
        <v>Non</v>
      </c>
      <c r="AB111" s="75"/>
      <c r="AC111" s="75"/>
      <c r="AD111" s="75"/>
      <c r="AE111" s="75"/>
      <c r="AF111" s="75"/>
      <c r="AG111" s="75"/>
      <c r="AH111" s="75"/>
      <c r="AI111" s="75"/>
      <c r="AJ111" s="81"/>
      <c r="AK111" s="75"/>
      <c r="AL111" s="75"/>
    </row>
    <row r="112" spans="1:38" hidden="1" x14ac:dyDescent="0.25">
      <c r="A112" s="75"/>
      <c r="B112" s="75"/>
      <c r="C112" s="35">
        <f>INDEX(Données!$F$2:$L$54,MATCH(F112,Données!$F$2:$F$54,0),2)</f>
        <v>43948</v>
      </c>
      <c r="D112" s="29" t="str">
        <f t="shared" si="3"/>
        <v>Veuillez inscrire votre nom</v>
      </c>
      <c r="E112" s="7">
        <f>Données!I19</f>
        <v>43950</v>
      </c>
      <c r="F112" s="6" t="str">
        <f>INDEX(Données!$F$2:$L$54,MATCH('Portail d''objectifs'!E112,Données!$G$2:$G$54,1),1)</f>
        <v>18</v>
      </c>
      <c r="G112" s="18" t="b">
        <f t="shared" si="4"/>
        <v>0</v>
      </c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1"/>
      <c r="W112" s="75"/>
      <c r="X112" s="75"/>
      <c r="Y112" s="75"/>
      <c r="Z112" s="96">
        <f>SUM(Tableau1[[#This Row],[A-1]:[G-5]])</f>
        <v>0</v>
      </c>
      <c r="AA112" s="96" t="str">
        <f>IF(AND(Z112&gt;0,Tableau1[[#This Row],[CDS]]=""),"Oui","Non")</f>
        <v>Non</v>
      </c>
      <c r="AB112" s="75"/>
      <c r="AC112" s="75"/>
      <c r="AD112" s="75"/>
      <c r="AE112" s="75"/>
      <c r="AF112" s="75"/>
      <c r="AG112" s="75"/>
      <c r="AH112" s="75"/>
      <c r="AI112" s="75"/>
      <c r="AJ112" s="81"/>
      <c r="AK112" s="75"/>
      <c r="AL112" s="75"/>
    </row>
    <row r="113" spans="1:38" hidden="1" x14ac:dyDescent="0.25">
      <c r="A113" s="75"/>
      <c r="B113" s="75"/>
      <c r="C113" s="35">
        <f>INDEX(Données!$F$2:$L$54,MATCH(F113,Données!$F$2:$F$54,0),2)</f>
        <v>43948</v>
      </c>
      <c r="D113" s="29" t="str">
        <f t="shared" si="3"/>
        <v>Veuillez inscrire votre nom</v>
      </c>
      <c r="E113" s="7">
        <f>Données!J19</f>
        <v>43951</v>
      </c>
      <c r="F113" s="6" t="str">
        <f>INDEX(Données!$F$2:$L$54,MATCH('Portail d''objectifs'!E113,Données!$G$2:$G$54,1),1)</f>
        <v>18</v>
      </c>
      <c r="G113" s="18" t="b">
        <f t="shared" si="4"/>
        <v>0</v>
      </c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1"/>
      <c r="W113" s="75"/>
      <c r="X113" s="75"/>
      <c r="Y113" s="75"/>
      <c r="Z113" s="96">
        <f>SUM(Tableau1[[#This Row],[A-1]:[G-5]])</f>
        <v>0</v>
      </c>
      <c r="AA113" s="96" t="str">
        <f>IF(AND(Z113&gt;0,Tableau1[[#This Row],[CDS]]=""),"Oui","Non")</f>
        <v>Non</v>
      </c>
      <c r="AB113" s="75"/>
      <c r="AC113" s="75"/>
      <c r="AD113" s="75"/>
      <c r="AE113" s="75"/>
      <c r="AF113" s="75"/>
      <c r="AG113" s="75"/>
      <c r="AH113" s="75"/>
      <c r="AI113" s="75"/>
      <c r="AJ113" s="81"/>
      <c r="AK113" s="75"/>
      <c r="AL113" s="75"/>
    </row>
    <row r="114" spans="1:38" hidden="1" x14ac:dyDescent="0.25">
      <c r="A114" s="75"/>
      <c r="B114" s="75"/>
      <c r="C114" s="35">
        <f>INDEX(Données!$F$2:$L$54,MATCH(F114,Données!$F$2:$F$54,0),2)</f>
        <v>43948</v>
      </c>
      <c r="D114" s="29" t="str">
        <f t="shared" si="3"/>
        <v>Veuillez inscrire votre nom</v>
      </c>
      <c r="E114" s="7">
        <f>Données!K19</f>
        <v>43952</v>
      </c>
      <c r="F114" s="6" t="str">
        <f>INDEX(Données!$F$2:$L$54,MATCH('Portail d''objectifs'!E114,Données!$G$2:$G$54,1),1)</f>
        <v>18</v>
      </c>
      <c r="G114" s="18" t="b">
        <f t="shared" si="4"/>
        <v>0</v>
      </c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1"/>
      <c r="W114" s="75"/>
      <c r="X114" s="75"/>
      <c r="Y114" s="75"/>
      <c r="Z114" s="96">
        <f>SUM(Tableau1[[#This Row],[A-1]:[G-5]])</f>
        <v>0</v>
      </c>
      <c r="AA114" s="96" t="str">
        <f>IF(AND(Z114&gt;0,Tableau1[[#This Row],[CDS]]=""),"Oui","Non")</f>
        <v>Non</v>
      </c>
      <c r="AB114" s="75"/>
      <c r="AC114" s="75"/>
      <c r="AD114" s="75"/>
      <c r="AE114" s="75"/>
      <c r="AF114" s="75"/>
      <c r="AG114" s="75"/>
      <c r="AH114" s="75"/>
      <c r="AI114" s="75"/>
      <c r="AJ114" s="81"/>
      <c r="AK114" s="75"/>
      <c r="AL114" s="75"/>
    </row>
    <row r="115" spans="1:38" hidden="1" x14ac:dyDescent="0.25">
      <c r="A115" s="75"/>
      <c r="B115" s="75"/>
      <c r="C115" s="35">
        <f>INDEX(Données!$F$2:$L$54,MATCH(F115,Données!$F$2:$F$54,0),2)</f>
        <v>43948</v>
      </c>
      <c r="D115" s="29" t="str">
        <f t="shared" si="3"/>
        <v>Veuillez inscrire votre nom</v>
      </c>
      <c r="E115" s="7">
        <f>Données!L19</f>
        <v>43953</v>
      </c>
      <c r="F115" s="6" t="str">
        <f>INDEX(Données!$F$2:$L$54,MATCH('Portail d''objectifs'!E115,Données!$G$2:$G$54,1),1)</f>
        <v>18</v>
      </c>
      <c r="G115" s="18" t="b">
        <f t="shared" si="4"/>
        <v>0</v>
      </c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1"/>
      <c r="W115" s="75"/>
      <c r="X115" s="75"/>
      <c r="Y115" s="75"/>
      <c r="Z115" s="96">
        <f>SUM(Tableau1[[#This Row],[A-1]:[G-5]])</f>
        <v>0</v>
      </c>
      <c r="AA115" s="96" t="str">
        <f>IF(AND(Z115&gt;0,Tableau1[[#This Row],[CDS]]=""),"Oui","Non")</f>
        <v>Non</v>
      </c>
      <c r="AB115" s="75"/>
      <c r="AC115" s="75"/>
      <c r="AD115" s="75"/>
      <c r="AE115" s="75"/>
      <c r="AF115" s="75"/>
      <c r="AG115" s="75"/>
      <c r="AH115" s="75"/>
      <c r="AI115" s="75"/>
      <c r="AJ115" s="81"/>
      <c r="AK115" s="75"/>
      <c r="AL115" s="75"/>
    </row>
    <row r="116" spans="1:38" hidden="1" x14ac:dyDescent="0.25">
      <c r="A116" s="75"/>
      <c r="B116" s="75"/>
      <c r="C116" s="35">
        <f>INDEX(Données!$F$2:$L$54,MATCH(F116,Données!$F$2:$F$54,0),2)</f>
        <v>43955</v>
      </c>
      <c r="D116" s="29" t="str">
        <f t="shared" si="3"/>
        <v>Veuillez inscrire votre nom</v>
      </c>
      <c r="E116" s="7">
        <f>Données!G20</f>
        <v>43955</v>
      </c>
      <c r="F116" s="6" t="str">
        <f>INDEX(Données!$F$2:$L$54,MATCH('Portail d''objectifs'!E116,Données!$G$2:$G$54,1),1)</f>
        <v>19</v>
      </c>
      <c r="G116" s="18" t="b">
        <f t="shared" si="4"/>
        <v>0</v>
      </c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1"/>
      <c r="W116" s="75"/>
      <c r="X116" s="75"/>
      <c r="Y116" s="75"/>
      <c r="Z116" s="96">
        <f>SUM(Tableau1[[#This Row],[A-1]:[G-5]])</f>
        <v>0</v>
      </c>
      <c r="AA116" s="96" t="str">
        <f>IF(AND(Z116&gt;0,Tableau1[[#This Row],[CDS]]=""),"Oui","Non")</f>
        <v>Non</v>
      </c>
      <c r="AB116" s="75"/>
      <c r="AC116" s="75"/>
      <c r="AD116" s="75"/>
      <c r="AE116" s="75"/>
      <c r="AF116" s="75"/>
      <c r="AG116" s="75"/>
      <c r="AH116" s="75"/>
      <c r="AI116" s="75"/>
      <c r="AJ116" s="81"/>
      <c r="AK116" s="75"/>
      <c r="AL116" s="75"/>
    </row>
    <row r="117" spans="1:38" hidden="1" x14ac:dyDescent="0.25">
      <c r="A117" s="75"/>
      <c r="B117" s="75"/>
      <c r="C117" s="35">
        <f>INDEX(Données!$F$2:$L$54,MATCH(F117,Données!$F$2:$F$54,0),2)</f>
        <v>43955</v>
      </c>
      <c r="D117" s="29" t="str">
        <f t="shared" si="3"/>
        <v>Veuillez inscrire votre nom</v>
      </c>
      <c r="E117" s="7">
        <f>Données!H20</f>
        <v>43956</v>
      </c>
      <c r="F117" s="6" t="str">
        <f>INDEX(Données!$F$2:$L$54,MATCH('Portail d''objectifs'!E117,Données!$G$2:$G$54,1),1)</f>
        <v>19</v>
      </c>
      <c r="G117" s="18" t="b">
        <f t="shared" si="4"/>
        <v>0</v>
      </c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1"/>
      <c r="W117" s="75"/>
      <c r="X117" s="75"/>
      <c r="Y117" s="75"/>
      <c r="Z117" s="96">
        <f>SUM(Tableau1[[#This Row],[A-1]:[G-5]])</f>
        <v>0</v>
      </c>
      <c r="AA117" s="96" t="str">
        <f>IF(AND(Z117&gt;0,Tableau1[[#This Row],[CDS]]=""),"Oui","Non")</f>
        <v>Non</v>
      </c>
      <c r="AB117" s="75"/>
      <c r="AC117" s="75"/>
      <c r="AD117" s="75"/>
      <c r="AE117" s="75"/>
      <c r="AF117" s="75"/>
      <c r="AG117" s="75"/>
      <c r="AH117" s="75"/>
      <c r="AI117" s="75"/>
      <c r="AJ117" s="81"/>
      <c r="AK117" s="75"/>
      <c r="AL117" s="75"/>
    </row>
    <row r="118" spans="1:38" hidden="1" x14ac:dyDescent="0.25">
      <c r="A118" s="75"/>
      <c r="B118" s="75"/>
      <c r="C118" s="35">
        <f>INDEX(Données!$F$2:$L$54,MATCH(F118,Données!$F$2:$F$54,0),2)</f>
        <v>43955</v>
      </c>
      <c r="D118" s="29" t="str">
        <f t="shared" si="3"/>
        <v>Veuillez inscrire votre nom</v>
      </c>
      <c r="E118" s="7">
        <f>Données!I20</f>
        <v>43957</v>
      </c>
      <c r="F118" s="6" t="str">
        <f>INDEX(Données!$F$2:$L$54,MATCH('Portail d''objectifs'!E118,Données!$G$2:$G$54,1),1)</f>
        <v>19</v>
      </c>
      <c r="G118" s="18" t="b">
        <f t="shared" si="4"/>
        <v>0</v>
      </c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1"/>
      <c r="W118" s="75"/>
      <c r="X118" s="75"/>
      <c r="Y118" s="75"/>
      <c r="Z118" s="96">
        <f>SUM(Tableau1[[#This Row],[A-1]:[G-5]])</f>
        <v>0</v>
      </c>
      <c r="AA118" s="96" t="str">
        <f>IF(AND(Z118&gt;0,Tableau1[[#This Row],[CDS]]=""),"Oui","Non")</f>
        <v>Non</v>
      </c>
      <c r="AB118" s="75"/>
      <c r="AC118" s="75"/>
      <c r="AD118" s="75"/>
      <c r="AE118" s="75"/>
      <c r="AF118" s="75"/>
      <c r="AG118" s="75"/>
      <c r="AH118" s="75"/>
      <c r="AI118" s="75"/>
      <c r="AJ118" s="81"/>
      <c r="AK118" s="75"/>
      <c r="AL118" s="75"/>
    </row>
    <row r="119" spans="1:38" hidden="1" x14ac:dyDescent="0.25">
      <c r="A119" s="75"/>
      <c r="B119" s="75"/>
      <c r="C119" s="35">
        <f>INDEX(Données!$F$2:$L$54,MATCH(F119,Données!$F$2:$F$54,0),2)</f>
        <v>43955</v>
      </c>
      <c r="D119" s="29" t="str">
        <f t="shared" si="3"/>
        <v>Veuillez inscrire votre nom</v>
      </c>
      <c r="E119" s="7">
        <f>Données!J20</f>
        <v>43958</v>
      </c>
      <c r="F119" s="6" t="str">
        <f>INDEX(Données!$F$2:$L$54,MATCH('Portail d''objectifs'!E119,Données!$G$2:$G$54,1),1)</f>
        <v>19</v>
      </c>
      <c r="G119" s="18" t="b">
        <f t="shared" si="4"/>
        <v>0</v>
      </c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1"/>
      <c r="W119" s="75"/>
      <c r="X119" s="75"/>
      <c r="Y119" s="75"/>
      <c r="Z119" s="96">
        <f>SUM(Tableau1[[#This Row],[A-1]:[G-5]])</f>
        <v>0</v>
      </c>
      <c r="AA119" s="96" t="str">
        <f>IF(AND(Z119&gt;0,Tableau1[[#This Row],[CDS]]=""),"Oui","Non")</f>
        <v>Non</v>
      </c>
      <c r="AB119" s="75"/>
      <c r="AC119" s="75"/>
      <c r="AD119" s="75"/>
      <c r="AE119" s="75"/>
      <c r="AF119" s="75"/>
      <c r="AG119" s="75"/>
      <c r="AH119" s="75"/>
      <c r="AI119" s="75"/>
      <c r="AJ119" s="81"/>
      <c r="AK119" s="75"/>
      <c r="AL119" s="75"/>
    </row>
    <row r="120" spans="1:38" hidden="1" x14ac:dyDescent="0.25">
      <c r="A120" s="75"/>
      <c r="B120" s="75"/>
      <c r="C120" s="35">
        <f>INDEX(Données!$F$2:$L$54,MATCH(F120,Données!$F$2:$F$54,0),2)</f>
        <v>43955</v>
      </c>
      <c r="D120" s="29" t="str">
        <f t="shared" si="3"/>
        <v>Veuillez inscrire votre nom</v>
      </c>
      <c r="E120" s="7">
        <f>Données!K20</f>
        <v>43959</v>
      </c>
      <c r="F120" s="6" t="str">
        <f>INDEX(Données!$F$2:$L$54,MATCH('Portail d''objectifs'!E120,Données!$G$2:$G$54,1),1)</f>
        <v>19</v>
      </c>
      <c r="G120" s="18" t="b">
        <f t="shared" si="4"/>
        <v>0</v>
      </c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1"/>
      <c r="W120" s="75"/>
      <c r="X120" s="75"/>
      <c r="Y120" s="75"/>
      <c r="Z120" s="96">
        <f>SUM(Tableau1[[#This Row],[A-1]:[G-5]])</f>
        <v>0</v>
      </c>
      <c r="AA120" s="96" t="str">
        <f>IF(AND(Z120&gt;0,Tableau1[[#This Row],[CDS]]=""),"Oui","Non")</f>
        <v>Non</v>
      </c>
      <c r="AB120" s="75"/>
      <c r="AC120" s="75"/>
      <c r="AD120" s="75"/>
      <c r="AE120" s="75"/>
      <c r="AF120" s="75"/>
      <c r="AG120" s="75"/>
      <c r="AH120" s="75"/>
      <c r="AI120" s="75"/>
      <c r="AJ120" s="81"/>
      <c r="AK120" s="75"/>
      <c r="AL120" s="75"/>
    </row>
    <row r="121" spans="1:38" hidden="1" x14ac:dyDescent="0.25">
      <c r="A121" s="75"/>
      <c r="B121" s="75"/>
      <c r="C121" s="35">
        <f>INDEX(Données!$F$2:$L$54,MATCH(F121,Données!$F$2:$F$54,0),2)</f>
        <v>43955</v>
      </c>
      <c r="D121" s="29" t="str">
        <f t="shared" si="3"/>
        <v>Veuillez inscrire votre nom</v>
      </c>
      <c r="E121" s="7">
        <f>Données!L20</f>
        <v>43960</v>
      </c>
      <c r="F121" s="6" t="str">
        <f>INDEX(Données!$F$2:$L$54,MATCH('Portail d''objectifs'!E121,Données!$G$2:$G$54,1),1)</f>
        <v>19</v>
      </c>
      <c r="G121" s="18" t="b">
        <f t="shared" si="4"/>
        <v>0</v>
      </c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1"/>
      <c r="W121" s="75"/>
      <c r="X121" s="75"/>
      <c r="Y121" s="75"/>
      <c r="Z121" s="96">
        <f>SUM(Tableau1[[#This Row],[A-1]:[G-5]])</f>
        <v>0</v>
      </c>
      <c r="AA121" s="96" t="str">
        <f>IF(AND(Z121&gt;0,Tableau1[[#This Row],[CDS]]=""),"Oui","Non")</f>
        <v>Non</v>
      </c>
      <c r="AB121" s="75"/>
      <c r="AC121" s="75"/>
      <c r="AD121" s="75"/>
      <c r="AE121" s="75"/>
      <c r="AF121" s="75"/>
      <c r="AG121" s="75"/>
      <c r="AH121" s="75"/>
      <c r="AI121" s="75"/>
      <c r="AJ121" s="81"/>
      <c r="AK121" s="75"/>
      <c r="AL121" s="75"/>
    </row>
    <row r="122" spans="1:38" hidden="1" x14ac:dyDescent="0.25">
      <c r="A122" s="75"/>
      <c r="B122" s="75"/>
      <c r="C122" s="35">
        <f>INDEX(Données!$F$2:$L$54,MATCH(F122,Données!$F$2:$F$54,0),2)</f>
        <v>43962</v>
      </c>
      <c r="D122" s="29" t="str">
        <f t="shared" si="3"/>
        <v>Veuillez inscrire votre nom</v>
      </c>
      <c r="E122" s="7">
        <f>Données!G21</f>
        <v>43962</v>
      </c>
      <c r="F122" s="6" t="str">
        <f>INDEX(Données!$F$2:$L$54,MATCH('Portail d''objectifs'!E122,Données!$G$2:$G$54,1),1)</f>
        <v>20</v>
      </c>
      <c r="G122" s="18" t="b">
        <f t="shared" si="4"/>
        <v>0</v>
      </c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1"/>
      <c r="W122" s="75"/>
      <c r="X122" s="75"/>
      <c r="Y122" s="75"/>
      <c r="Z122" s="96">
        <f>SUM(Tableau1[[#This Row],[A-1]:[G-5]])</f>
        <v>0</v>
      </c>
      <c r="AA122" s="96" t="str">
        <f>IF(AND(Z122&gt;0,Tableau1[[#This Row],[CDS]]=""),"Oui","Non")</f>
        <v>Non</v>
      </c>
      <c r="AB122" s="75"/>
      <c r="AC122" s="75"/>
      <c r="AD122" s="75"/>
      <c r="AE122" s="75"/>
      <c r="AF122" s="75"/>
      <c r="AG122" s="75"/>
      <c r="AH122" s="75"/>
      <c r="AI122" s="75"/>
      <c r="AJ122" s="81"/>
      <c r="AK122" s="75"/>
      <c r="AL122" s="75"/>
    </row>
    <row r="123" spans="1:38" hidden="1" x14ac:dyDescent="0.25">
      <c r="A123" s="75"/>
      <c r="B123" s="75"/>
      <c r="C123" s="35">
        <f>INDEX(Données!$F$2:$L$54,MATCH(F123,Données!$F$2:$F$54,0),2)</f>
        <v>43962</v>
      </c>
      <c r="D123" s="29" t="str">
        <f t="shared" si="3"/>
        <v>Veuillez inscrire votre nom</v>
      </c>
      <c r="E123" s="7">
        <f>Données!H21</f>
        <v>43963</v>
      </c>
      <c r="F123" s="6" t="str">
        <f>INDEX(Données!$F$2:$L$54,MATCH('Portail d''objectifs'!E123,Données!$G$2:$G$54,1),1)</f>
        <v>20</v>
      </c>
      <c r="G123" s="18" t="b">
        <f t="shared" si="4"/>
        <v>0</v>
      </c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1"/>
      <c r="W123" s="75"/>
      <c r="X123" s="75"/>
      <c r="Y123" s="75"/>
      <c r="Z123" s="96">
        <f>SUM(Tableau1[[#This Row],[A-1]:[G-5]])</f>
        <v>0</v>
      </c>
      <c r="AA123" s="96" t="str">
        <f>IF(AND(Z123&gt;0,Tableau1[[#This Row],[CDS]]=""),"Oui","Non")</f>
        <v>Non</v>
      </c>
      <c r="AB123" s="75"/>
      <c r="AC123" s="75"/>
      <c r="AD123" s="75"/>
      <c r="AE123" s="75"/>
      <c r="AF123" s="75"/>
      <c r="AG123" s="75"/>
      <c r="AH123" s="75"/>
      <c r="AI123" s="75"/>
      <c r="AJ123" s="81"/>
      <c r="AK123" s="75"/>
      <c r="AL123" s="75"/>
    </row>
    <row r="124" spans="1:38" hidden="1" x14ac:dyDescent="0.25">
      <c r="A124" s="75"/>
      <c r="B124" s="75"/>
      <c r="C124" s="35">
        <f>INDEX(Données!$F$2:$L$54,MATCH(F124,Données!$F$2:$F$54,0),2)</f>
        <v>43962</v>
      </c>
      <c r="D124" s="29" t="str">
        <f t="shared" si="3"/>
        <v>Veuillez inscrire votre nom</v>
      </c>
      <c r="E124" s="7">
        <f>Données!I21</f>
        <v>43964</v>
      </c>
      <c r="F124" s="6" t="str">
        <f>INDEX(Données!$F$2:$L$54,MATCH('Portail d''objectifs'!E124,Données!$G$2:$G$54,1),1)</f>
        <v>20</v>
      </c>
      <c r="G124" s="18" t="b">
        <f t="shared" si="4"/>
        <v>0</v>
      </c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1"/>
      <c r="W124" s="75"/>
      <c r="X124" s="75"/>
      <c r="Y124" s="75"/>
      <c r="Z124" s="96">
        <f>SUM(Tableau1[[#This Row],[A-1]:[G-5]])</f>
        <v>0</v>
      </c>
      <c r="AA124" s="96" t="str">
        <f>IF(AND(Z124&gt;0,Tableau1[[#This Row],[CDS]]=""),"Oui","Non")</f>
        <v>Non</v>
      </c>
      <c r="AB124" s="75"/>
      <c r="AC124" s="75"/>
      <c r="AD124" s="75"/>
      <c r="AE124" s="75"/>
      <c r="AF124" s="75"/>
      <c r="AG124" s="75"/>
      <c r="AH124" s="75"/>
      <c r="AI124" s="75"/>
      <c r="AJ124" s="81"/>
      <c r="AK124" s="75"/>
      <c r="AL124" s="75"/>
    </row>
    <row r="125" spans="1:38" hidden="1" x14ac:dyDescent="0.25">
      <c r="A125" s="75"/>
      <c r="B125" s="75"/>
      <c r="C125" s="35">
        <f>INDEX(Données!$F$2:$L$54,MATCH(F125,Données!$F$2:$F$54,0),2)</f>
        <v>43962</v>
      </c>
      <c r="D125" s="29" t="str">
        <f t="shared" si="3"/>
        <v>Veuillez inscrire votre nom</v>
      </c>
      <c r="E125" s="7">
        <f>Données!J21</f>
        <v>43965</v>
      </c>
      <c r="F125" s="6" t="str">
        <f>INDEX(Données!$F$2:$L$54,MATCH('Portail d''objectifs'!E125,Données!$G$2:$G$54,1),1)</f>
        <v>20</v>
      </c>
      <c r="G125" s="18" t="b">
        <f t="shared" si="4"/>
        <v>0</v>
      </c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1"/>
      <c r="W125" s="75"/>
      <c r="X125" s="75"/>
      <c r="Y125" s="75"/>
      <c r="Z125" s="96">
        <f>SUM(Tableau1[[#This Row],[A-1]:[G-5]])</f>
        <v>0</v>
      </c>
      <c r="AA125" s="96" t="str">
        <f>IF(AND(Z125&gt;0,Tableau1[[#This Row],[CDS]]=""),"Oui","Non")</f>
        <v>Non</v>
      </c>
      <c r="AB125" s="75"/>
      <c r="AC125" s="75"/>
      <c r="AD125" s="75"/>
      <c r="AE125" s="75"/>
      <c r="AF125" s="75"/>
      <c r="AG125" s="75"/>
      <c r="AH125" s="75"/>
      <c r="AI125" s="75"/>
      <c r="AJ125" s="81"/>
      <c r="AK125" s="75"/>
      <c r="AL125" s="75"/>
    </row>
    <row r="126" spans="1:38" hidden="1" x14ac:dyDescent="0.25">
      <c r="A126" s="75"/>
      <c r="B126" s="75"/>
      <c r="C126" s="35">
        <f>INDEX(Données!$F$2:$L$54,MATCH(F126,Données!$F$2:$F$54,0),2)</f>
        <v>43962</v>
      </c>
      <c r="D126" s="29" t="str">
        <f t="shared" si="3"/>
        <v>Veuillez inscrire votre nom</v>
      </c>
      <c r="E126" s="7">
        <f>Données!K21</f>
        <v>43966</v>
      </c>
      <c r="F126" s="6" t="str">
        <f>INDEX(Données!$F$2:$L$54,MATCH('Portail d''objectifs'!E126,Données!$G$2:$G$54,1),1)</f>
        <v>20</v>
      </c>
      <c r="G126" s="18" t="b">
        <f t="shared" si="4"/>
        <v>0</v>
      </c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1"/>
      <c r="W126" s="75"/>
      <c r="X126" s="75"/>
      <c r="Y126" s="75"/>
      <c r="Z126" s="96">
        <f>SUM(Tableau1[[#This Row],[A-1]:[G-5]])</f>
        <v>0</v>
      </c>
      <c r="AA126" s="96" t="str">
        <f>IF(AND(Z126&gt;0,Tableau1[[#This Row],[CDS]]=""),"Oui","Non")</f>
        <v>Non</v>
      </c>
      <c r="AB126" s="75"/>
      <c r="AC126" s="75"/>
      <c r="AD126" s="75"/>
      <c r="AE126" s="75"/>
      <c r="AF126" s="75"/>
      <c r="AG126" s="75"/>
      <c r="AH126" s="75"/>
      <c r="AI126" s="75"/>
      <c r="AJ126" s="81"/>
      <c r="AK126" s="75"/>
      <c r="AL126" s="75"/>
    </row>
    <row r="127" spans="1:38" hidden="1" x14ac:dyDescent="0.25">
      <c r="A127" s="75"/>
      <c r="B127" s="75"/>
      <c r="C127" s="35">
        <f>INDEX(Données!$F$2:$L$54,MATCH(F127,Données!$F$2:$F$54,0),2)</f>
        <v>43962</v>
      </c>
      <c r="D127" s="29" t="str">
        <f t="shared" si="3"/>
        <v>Veuillez inscrire votre nom</v>
      </c>
      <c r="E127" s="7">
        <f>Données!L21</f>
        <v>43967</v>
      </c>
      <c r="F127" s="6" t="str">
        <f>INDEX(Données!$F$2:$L$54,MATCH('Portail d''objectifs'!E127,Données!$G$2:$G$54,1),1)</f>
        <v>20</v>
      </c>
      <c r="G127" s="18" t="b">
        <f t="shared" si="4"/>
        <v>0</v>
      </c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1"/>
      <c r="W127" s="75"/>
      <c r="X127" s="75"/>
      <c r="Y127" s="75"/>
      <c r="Z127" s="96">
        <f>SUM(Tableau1[[#This Row],[A-1]:[G-5]])</f>
        <v>0</v>
      </c>
      <c r="AA127" s="96" t="str">
        <f>IF(AND(Z127&gt;0,Tableau1[[#This Row],[CDS]]=""),"Oui","Non")</f>
        <v>Non</v>
      </c>
      <c r="AB127" s="75"/>
      <c r="AC127" s="75"/>
      <c r="AD127" s="75"/>
      <c r="AE127" s="75"/>
      <c r="AF127" s="75"/>
      <c r="AG127" s="75"/>
      <c r="AH127" s="75"/>
      <c r="AI127" s="75"/>
      <c r="AJ127" s="81"/>
      <c r="AK127" s="75"/>
      <c r="AL127" s="75"/>
    </row>
    <row r="128" spans="1:38" hidden="1" x14ac:dyDescent="0.25">
      <c r="A128" s="75"/>
      <c r="B128" s="75"/>
      <c r="C128" s="35">
        <f>INDEX(Données!$F$2:$L$54,MATCH(F128,Données!$F$2:$F$54,0),2)</f>
        <v>43969</v>
      </c>
      <c r="D128" s="29" t="str">
        <f t="shared" si="3"/>
        <v>Veuillez inscrire votre nom</v>
      </c>
      <c r="E128" s="7">
        <f>Données!G22</f>
        <v>43969</v>
      </c>
      <c r="F128" s="6" t="str">
        <f>INDEX(Données!$F$2:$L$54,MATCH('Portail d''objectifs'!E128,Données!$G$2:$G$54,1),1)</f>
        <v>21</v>
      </c>
      <c r="G128" s="18" t="b">
        <f t="shared" si="4"/>
        <v>0</v>
      </c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1"/>
      <c r="W128" s="75"/>
      <c r="X128" s="75"/>
      <c r="Y128" s="75"/>
      <c r="Z128" s="96">
        <f>SUM(Tableau1[[#This Row],[A-1]:[G-5]])</f>
        <v>0</v>
      </c>
      <c r="AA128" s="96" t="str">
        <f>IF(AND(Z128&gt;0,Tableau1[[#This Row],[CDS]]=""),"Oui","Non")</f>
        <v>Non</v>
      </c>
      <c r="AB128" s="75"/>
      <c r="AC128" s="75"/>
      <c r="AD128" s="75"/>
      <c r="AE128" s="75"/>
      <c r="AF128" s="75"/>
      <c r="AG128" s="75"/>
      <c r="AH128" s="75"/>
      <c r="AI128" s="75"/>
      <c r="AJ128" s="81"/>
      <c r="AK128" s="75"/>
      <c r="AL128" s="75"/>
    </row>
    <row r="129" spans="1:38" hidden="1" x14ac:dyDescent="0.25">
      <c r="A129" s="75"/>
      <c r="B129" s="75"/>
      <c r="C129" s="35">
        <f>INDEX(Données!$F$2:$L$54,MATCH(F129,Données!$F$2:$F$54,0),2)</f>
        <v>43969</v>
      </c>
      <c r="D129" s="29" t="str">
        <f t="shared" si="3"/>
        <v>Veuillez inscrire votre nom</v>
      </c>
      <c r="E129" s="7">
        <f>Données!H22</f>
        <v>43970</v>
      </c>
      <c r="F129" s="6" t="str">
        <f>INDEX(Données!$F$2:$L$54,MATCH('Portail d''objectifs'!E129,Données!$G$2:$G$54,1),1)</f>
        <v>21</v>
      </c>
      <c r="G129" s="18" t="b">
        <f t="shared" si="4"/>
        <v>0</v>
      </c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1"/>
      <c r="W129" s="75"/>
      <c r="X129" s="75"/>
      <c r="Y129" s="75"/>
      <c r="Z129" s="96">
        <f>SUM(Tableau1[[#This Row],[A-1]:[G-5]])</f>
        <v>0</v>
      </c>
      <c r="AA129" s="96" t="str">
        <f>IF(AND(Z129&gt;0,Tableau1[[#This Row],[CDS]]=""),"Oui","Non")</f>
        <v>Non</v>
      </c>
      <c r="AB129" s="75"/>
      <c r="AC129" s="75"/>
      <c r="AD129" s="75"/>
      <c r="AE129" s="75"/>
      <c r="AF129" s="75"/>
      <c r="AG129" s="75"/>
      <c r="AH129" s="75"/>
      <c r="AI129" s="75"/>
      <c r="AJ129" s="81"/>
      <c r="AK129" s="75"/>
      <c r="AL129" s="75"/>
    </row>
    <row r="130" spans="1:38" hidden="1" x14ac:dyDescent="0.25">
      <c r="A130" s="75"/>
      <c r="B130" s="75"/>
      <c r="C130" s="35">
        <f>INDEX(Données!$F$2:$L$54,MATCH(F130,Données!$F$2:$F$54,0),2)</f>
        <v>43969</v>
      </c>
      <c r="D130" s="29" t="str">
        <f t="shared" si="3"/>
        <v>Veuillez inscrire votre nom</v>
      </c>
      <c r="E130" s="7">
        <f>Données!I22</f>
        <v>43971</v>
      </c>
      <c r="F130" s="6" t="str">
        <f>INDEX(Données!$F$2:$L$54,MATCH('Portail d''objectifs'!E130,Données!$G$2:$G$54,1),1)</f>
        <v>21</v>
      </c>
      <c r="G130" s="18" t="b">
        <f t="shared" si="4"/>
        <v>0</v>
      </c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1"/>
      <c r="W130" s="75"/>
      <c r="X130" s="75"/>
      <c r="Y130" s="75"/>
      <c r="Z130" s="96">
        <f>SUM(Tableau1[[#This Row],[A-1]:[G-5]])</f>
        <v>0</v>
      </c>
      <c r="AA130" s="96" t="str">
        <f>IF(AND(Z130&gt;0,Tableau1[[#This Row],[CDS]]=""),"Oui","Non")</f>
        <v>Non</v>
      </c>
      <c r="AB130" s="75"/>
      <c r="AC130" s="75"/>
      <c r="AD130" s="75"/>
      <c r="AE130" s="75"/>
      <c r="AF130" s="75"/>
      <c r="AG130" s="75"/>
      <c r="AH130" s="75"/>
      <c r="AI130" s="75"/>
      <c r="AJ130" s="81"/>
      <c r="AK130" s="75"/>
      <c r="AL130" s="75"/>
    </row>
    <row r="131" spans="1:38" hidden="1" x14ac:dyDescent="0.25">
      <c r="A131" s="75"/>
      <c r="B131" s="75"/>
      <c r="C131" s="35">
        <f>INDEX(Données!$F$2:$L$54,MATCH(F131,Données!$F$2:$F$54,0),2)</f>
        <v>43969</v>
      </c>
      <c r="D131" s="29" t="str">
        <f t="shared" si="3"/>
        <v>Veuillez inscrire votre nom</v>
      </c>
      <c r="E131" s="7">
        <f>Données!J22</f>
        <v>43972</v>
      </c>
      <c r="F131" s="6" t="str">
        <f>INDEX(Données!$F$2:$L$54,MATCH('Portail d''objectifs'!E131,Données!$G$2:$G$54,1),1)</f>
        <v>21</v>
      </c>
      <c r="G131" s="18" t="b">
        <f t="shared" si="4"/>
        <v>0</v>
      </c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1"/>
      <c r="W131" s="75"/>
      <c r="X131" s="75"/>
      <c r="Y131" s="75"/>
      <c r="Z131" s="96">
        <f>SUM(Tableau1[[#This Row],[A-1]:[G-5]])</f>
        <v>0</v>
      </c>
      <c r="AA131" s="96" t="str">
        <f>IF(AND(Z131&gt;0,Tableau1[[#This Row],[CDS]]=""),"Oui","Non")</f>
        <v>Non</v>
      </c>
      <c r="AB131" s="75"/>
      <c r="AC131" s="75"/>
      <c r="AD131" s="75"/>
      <c r="AE131" s="75"/>
      <c r="AF131" s="75"/>
      <c r="AG131" s="75"/>
      <c r="AH131" s="75"/>
      <c r="AI131" s="75"/>
      <c r="AJ131" s="81"/>
      <c r="AK131" s="75"/>
      <c r="AL131" s="75"/>
    </row>
    <row r="132" spans="1:38" hidden="1" x14ac:dyDescent="0.25">
      <c r="A132" s="75"/>
      <c r="B132" s="75"/>
      <c r="C132" s="35">
        <f>INDEX(Données!$F$2:$L$54,MATCH(F132,Données!$F$2:$F$54,0),2)</f>
        <v>43969</v>
      </c>
      <c r="D132" s="29" t="str">
        <f t="shared" si="3"/>
        <v>Veuillez inscrire votre nom</v>
      </c>
      <c r="E132" s="7">
        <f>Données!K22</f>
        <v>43973</v>
      </c>
      <c r="F132" s="6" t="str">
        <f>INDEX(Données!$F$2:$L$54,MATCH('Portail d''objectifs'!E132,Données!$G$2:$G$54,1),1)</f>
        <v>21</v>
      </c>
      <c r="G132" s="18" t="b">
        <f t="shared" si="4"/>
        <v>0</v>
      </c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1"/>
      <c r="W132" s="75"/>
      <c r="X132" s="75"/>
      <c r="Y132" s="75"/>
      <c r="Z132" s="96">
        <f>SUM(Tableau1[[#This Row],[A-1]:[G-5]])</f>
        <v>0</v>
      </c>
      <c r="AA132" s="96" t="str">
        <f>IF(AND(Z132&gt;0,Tableau1[[#This Row],[CDS]]=""),"Oui","Non")</f>
        <v>Non</v>
      </c>
      <c r="AB132" s="75"/>
      <c r="AC132" s="75"/>
      <c r="AD132" s="75"/>
      <c r="AE132" s="75"/>
      <c r="AF132" s="75"/>
      <c r="AG132" s="75"/>
      <c r="AH132" s="75"/>
      <c r="AI132" s="75"/>
      <c r="AJ132" s="81"/>
      <c r="AK132" s="75"/>
      <c r="AL132" s="75"/>
    </row>
    <row r="133" spans="1:38" hidden="1" x14ac:dyDescent="0.25">
      <c r="A133" s="75"/>
      <c r="B133" s="75"/>
      <c r="C133" s="35">
        <f>INDEX(Données!$F$2:$L$54,MATCH(F133,Données!$F$2:$F$54,0),2)</f>
        <v>43969</v>
      </c>
      <c r="D133" s="29" t="str">
        <f t="shared" si="3"/>
        <v>Veuillez inscrire votre nom</v>
      </c>
      <c r="E133" s="7">
        <f>Données!L22</f>
        <v>43974</v>
      </c>
      <c r="F133" s="6" t="str">
        <f>INDEX(Données!$F$2:$L$54,MATCH('Portail d''objectifs'!E133,Données!$G$2:$G$54,1),1)</f>
        <v>21</v>
      </c>
      <c r="G133" s="18" t="b">
        <f t="shared" si="4"/>
        <v>0</v>
      </c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1"/>
      <c r="W133" s="75"/>
      <c r="X133" s="75"/>
      <c r="Y133" s="75"/>
      <c r="Z133" s="96">
        <f>SUM(Tableau1[[#This Row],[A-1]:[G-5]])</f>
        <v>0</v>
      </c>
      <c r="AA133" s="96" t="str">
        <f>IF(AND(Z133&gt;0,Tableau1[[#This Row],[CDS]]=""),"Oui","Non")</f>
        <v>Non</v>
      </c>
      <c r="AB133" s="75"/>
      <c r="AC133" s="75"/>
      <c r="AD133" s="75"/>
      <c r="AE133" s="75"/>
      <c r="AF133" s="75"/>
      <c r="AG133" s="75"/>
      <c r="AH133" s="75"/>
      <c r="AI133" s="75"/>
      <c r="AJ133" s="81"/>
      <c r="AK133" s="75"/>
      <c r="AL133" s="75"/>
    </row>
    <row r="134" spans="1:38" hidden="1" x14ac:dyDescent="0.25">
      <c r="A134" s="75"/>
      <c r="B134" s="75"/>
      <c r="C134" s="35">
        <f>INDEX(Données!$F$2:$L$54,MATCH(F134,Données!$F$2:$F$54,0),2)</f>
        <v>43976</v>
      </c>
      <c r="D134" s="29" t="str">
        <f t="shared" si="3"/>
        <v>Veuillez inscrire votre nom</v>
      </c>
      <c r="E134" s="7">
        <f>Données!G23</f>
        <v>43976</v>
      </c>
      <c r="F134" s="6" t="str">
        <f>INDEX(Données!$F$2:$L$54,MATCH('Portail d''objectifs'!E134,Données!$G$2:$G$54,1),1)</f>
        <v>22</v>
      </c>
      <c r="G134" s="18" t="b">
        <f t="shared" si="4"/>
        <v>0</v>
      </c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1"/>
      <c r="W134" s="75"/>
      <c r="X134" s="75"/>
      <c r="Y134" s="75"/>
      <c r="Z134" s="96">
        <f>SUM(Tableau1[[#This Row],[A-1]:[G-5]])</f>
        <v>0</v>
      </c>
      <c r="AA134" s="96" t="str">
        <f>IF(AND(Z134&gt;0,Tableau1[[#This Row],[CDS]]=""),"Oui","Non")</f>
        <v>Non</v>
      </c>
      <c r="AB134" s="75"/>
      <c r="AC134" s="75"/>
      <c r="AD134" s="75"/>
      <c r="AE134" s="75"/>
      <c r="AF134" s="75"/>
      <c r="AG134" s="75"/>
      <c r="AH134" s="75"/>
      <c r="AI134" s="75"/>
      <c r="AJ134" s="81"/>
      <c r="AK134" s="75"/>
      <c r="AL134" s="75"/>
    </row>
    <row r="135" spans="1:38" hidden="1" x14ac:dyDescent="0.25">
      <c r="A135" s="75"/>
      <c r="B135" s="75"/>
      <c r="C135" s="35">
        <f>INDEX(Données!$F$2:$L$54,MATCH(F135,Données!$F$2:$F$54,0),2)</f>
        <v>43976</v>
      </c>
      <c r="D135" s="29" t="str">
        <f t="shared" si="3"/>
        <v>Veuillez inscrire votre nom</v>
      </c>
      <c r="E135" s="7">
        <f>Données!H23</f>
        <v>43977</v>
      </c>
      <c r="F135" s="6" t="str">
        <f>INDEX(Données!$F$2:$L$54,MATCH('Portail d''objectifs'!E135,Données!$G$2:$G$54,1),1)</f>
        <v>22</v>
      </c>
      <c r="G135" s="18" t="b">
        <f t="shared" si="4"/>
        <v>0</v>
      </c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1"/>
      <c r="W135" s="75"/>
      <c r="X135" s="75"/>
      <c r="Y135" s="75"/>
      <c r="Z135" s="96">
        <f>SUM(Tableau1[[#This Row],[A-1]:[G-5]])</f>
        <v>0</v>
      </c>
      <c r="AA135" s="96" t="str">
        <f>IF(AND(Z135&gt;0,Tableau1[[#This Row],[CDS]]=""),"Oui","Non")</f>
        <v>Non</v>
      </c>
      <c r="AB135" s="75"/>
      <c r="AC135" s="75"/>
      <c r="AD135" s="75"/>
      <c r="AE135" s="75"/>
      <c r="AF135" s="75"/>
      <c r="AG135" s="75"/>
      <c r="AH135" s="75"/>
      <c r="AI135" s="75"/>
      <c r="AJ135" s="81"/>
      <c r="AK135" s="75"/>
      <c r="AL135" s="75"/>
    </row>
    <row r="136" spans="1:38" hidden="1" x14ac:dyDescent="0.25">
      <c r="A136" s="75"/>
      <c r="B136" s="75"/>
      <c r="C136" s="35">
        <f>INDEX(Données!$F$2:$L$54,MATCH(F136,Données!$F$2:$F$54,0),2)</f>
        <v>43976</v>
      </c>
      <c r="D136" s="29" t="str">
        <f t="shared" ref="D136:D199" si="5">$E$4</f>
        <v>Veuillez inscrire votre nom</v>
      </c>
      <c r="E136" s="7">
        <f>Données!I23</f>
        <v>43978</v>
      </c>
      <c r="F136" s="6" t="str">
        <f>INDEX(Données!$F$2:$L$54,MATCH('Portail d''objectifs'!E136,Données!$G$2:$G$54,1),1)</f>
        <v>22</v>
      </c>
      <c r="G136" s="18" t="b">
        <f t="shared" ref="G136:G199" si="6">IF(AND($V$5=1),"PS-1",IF(AND($V$5=2),"PS-2",IF(AND($V$5=4),"PS-4",IF(AND($V$5=6),"S.O.",IF(AND($V$5=5),"")))))</f>
        <v>0</v>
      </c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1"/>
      <c r="W136" s="75"/>
      <c r="X136" s="75"/>
      <c r="Y136" s="75"/>
      <c r="Z136" s="96">
        <f>SUM(Tableau1[[#This Row],[A-1]:[G-5]])</f>
        <v>0</v>
      </c>
      <c r="AA136" s="96" t="str">
        <f>IF(AND(Z136&gt;0,Tableau1[[#This Row],[CDS]]=""),"Oui","Non")</f>
        <v>Non</v>
      </c>
      <c r="AB136" s="75"/>
      <c r="AC136" s="75"/>
      <c r="AD136" s="75"/>
      <c r="AE136" s="75"/>
      <c r="AF136" s="75"/>
      <c r="AG136" s="75"/>
      <c r="AH136" s="75"/>
      <c r="AI136" s="75"/>
      <c r="AJ136" s="81"/>
      <c r="AK136" s="75"/>
      <c r="AL136" s="75"/>
    </row>
    <row r="137" spans="1:38" hidden="1" x14ac:dyDescent="0.25">
      <c r="A137" s="75"/>
      <c r="B137" s="75"/>
      <c r="C137" s="35">
        <f>INDEX(Données!$F$2:$L$54,MATCH(F137,Données!$F$2:$F$54,0),2)</f>
        <v>43976</v>
      </c>
      <c r="D137" s="29" t="str">
        <f t="shared" si="5"/>
        <v>Veuillez inscrire votre nom</v>
      </c>
      <c r="E137" s="7">
        <f>Données!J23</f>
        <v>43979</v>
      </c>
      <c r="F137" s="6" t="str">
        <f>INDEX(Données!$F$2:$L$54,MATCH('Portail d''objectifs'!E137,Données!$G$2:$G$54,1),1)</f>
        <v>22</v>
      </c>
      <c r="G137" s="18" t="b">
        <f t="shared" si="6"/>
        <v>0</v>
      </c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1"/>
      <c r="W137" s="75"/>
      <c r="X137" s="75"/>
      <c r="Y137" s="75"/>
      <c r="Z137" s="96">
        <f>SUM(Tableau1[[#This Row],[A-1]:[G-5]])</f>
        <v>0</v>
      </c>
      <c r="AA137" s="96" t="str">
        <f>IF(AND(Z137&gt;0,Tableau1[[#This Row],[CDS]]=""),"Oui","Non")</f>
        <v>Non</v>
      </c>
      <c r="AB137" s="75"/>
      <c r="AC137" s="75"/>
      <c r="AD137" s="75"/>
      <c r="AE137" s="75"/>
      <c r="AF137" s="75"/>
      <c r="AG137" s="75"/>
      <c r="AH137" s="75"/>
      <c r="AI137" s="75"/>
      <c r="AJ137" s="81"/>
      <c r="AK137" s="75"/>
      <c r="AL137" s="75"/>
    </row>
    <row r="138" spans="1:38" hidden="1" x14ac:dyDescent="0.25">
      <c r="A138" s="75"/>
      <c r="B138" s="75"/>
      <c r="C138" s="35">
        <f>INDEX(Données!$F$2:$L$54,MATCH(F138,Données!$F$2:$F$54,0),2)</f>
        <v>43976</v>
      </c>
      <c r="D138" s="29" t="str">
        <f t="shared" si="5"/>
        <v>Veuillez inscrire votre nom</v>
      </c>
      <c r="E138" s="7">
        <f>Données!K23</f>
        <v>43980</v>
      </c>
      <c r="F138" s="6" t="str">
        <f>INDEX(Données!$F$2:$L$54,MATCH('Portail d''objectifs'!E138,Données!$G$2:$G$54,1),1)</f>
        <v>22</v>
      </c>
      <c r="G138" s="18" t="b">
        <f t="shared" si="6"/>
        <v>0</v>
      </c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1"/>
      <c r="W138" s="75"/>
      <c r="X138" s="75"/>
      <c r="Y138" s="75"/>
      <c r="Z138" s="96">
        <f>SUM(Tableau1[[#This Row],[A-1]:[G-5]])</f>
        <v>0</v>
      </c>
      <c r="AA138" s="96" t="str">
        <f>IF(AND(Z138&gt;0,Tableau1[[#This Row],[CDS]]=""),"Oui","Non")</f>
        <v>Non</v>
      </c>
      <c r="AB138" s="75"/>
      <c r="AC138" s="75"/>
      <c r="AD138" s="75"/>
      <c r="AE138" s="75"/>
      <c r="AF138" s="75"/>
      <c r="AG138" s="75"/>
      <c r="AH138" s="75"/>
      <c r="AI138" s="75"/>
      <c r="AJ138" s="81"/>
      <c r="AK138" s="75"/>
      <c r="AL138" s="75"/>
    </row>
    <row r="139" spans="1:38" hidden="1" x14ac:dyDescent="0.25">
      <c r="A139" s="75"/>
      <c r="B139" s="75"/>
      <c r="C139" s="35">
        <f>INDEX(Données!$F$2:$L$54,MATCH(F139,Données!$F$2:$F$54,0),2)</f>
        <v>43976</v>
      </c>
      <c r="D139" s="29" t="str">
        <f t="shared" si="5"/>
        <v>Veuillez inscrire votre nom</v>
      </c>
      <c r="E139" s="7">
        <f>Données!L23</f>
        <v>43981</v>
      </c>
      <c r="F139" s="6" t="str">
        <f>INDEX(Données!$F$2:$L$54,MATCH('Portail d''objectifs'!E139,Données!$G$2:$G$54,1),1)</f>
        <v>22</v>
      </c>
      <c r="G139" s="18" t="b">
        <f t="shared" si="6"/>
        <v>0</v>
      </c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1"/>
      <c r="W139" s="75"/>
      <c r="X139" s="75"/>
      <c r="Y139" s="75"/>
      <c r="Z139" s="96">
        <f>SUM(Tableau1[[#This Row],[A-1]:[G-5]])</f>
        <v>0</v>
      </c>
      <c r="AA139" s="96" t="str">
        <f>IF(AND(Z139&gt;0,Tableau1[[#This Row],[CDS]]=""),"Oui","Non")</f>
        <v>Non</v>
      </c>
      <c r="AB139" s="75"/>
      <c r="AC139" s="75"/>
      <c r="AD139" s="75"/>
      <c r="AE139" s="75"/>
      <c r="AF139" s="75"/>
      <c r="AG139" s="75"/>
      <c r="AH139" s="75"/>
      <c r="AI139" s="75"/>
      <c r="AJ139" s="81"/>
      <c r="AK139" s="75"/>
      <c r="AL139" s="75"/>
    </row>
    <row r="140" spans="1:38" hidden="1" x14ac:dyDescent="0.25">
      <c r="A140" s="75"/>
      <c r="B140" s="75"/>
      <c r="C140" s="35">
        <f>INDEX(Données!$F$2:$L$54,MATCH(F140,Données!$F$2:$F$54,0),2)</f>
        <v>43983</v>
      </c>
      <c r="D140" s="29" t="str">
        <f t="shared" si="5"/>
        <v>Veuillez inscrire votre nom</v>
      </c>
      <c r="E140" s="7">
        <f>Données!G24</f>
        <v>43983</v>
      </c>
      <c r="F140" s="6" t="str">
        <f>INDEX(Données!$F$2:$L$54,MATCH('Portail d''objectifs'!E140,Données!$G$2:$G$54,1),1)</f>
        <v>23</v>
      </c>
      <c r="G140" s="18" t="b">
        <f t="shared" si="6"/>
        <v>0</v>
      </c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1"/>
      <c r="W140" s="75"/>
      <c r="X140" s="75"/>
      <c r="Y140" s="75"/>
      <c r="Z140" s="96">
        <f>SUM(Tableau1[[#This Row],[A-1]:[G-5]])</f>
        <v>0</v>
      </c>
      <c r="AA140" s="96" t="str">
        <f>IF(AND(Z140&gt;0,Tableau1[[#This Row],[CDS]]=""),"Oui","Non")</f>
        <v>Non</v>
      </c>
      <c r="AB140" s="75"/>
      <c r="AC140" s="75"/>
      <c r="AD140" s="75"/>
      <c r="AE140" s="75"/>
      <c r="AF140" s="75"/>
      <c r="AG140" s="75"/>
      <c r="AH140" s="75"/>
      <c r="AI140" s="75"/>
      <c r="AJ140" s="81"/>
      <c r="AK140" s="75"/>
      <c r="AL140" s="75"/>
    </row>
    <row r="141" spans="1:38" hidden="1" x14ac:dyDescent="0.25">
      <c r="A141" s="75"/>
      <c r="B141" s="75"/>
      <c r="C141" s="35">
        <f>INDEX(Données!$F$2:$L$54,MATCH(F141,Données!$F$2:$F$54,0),2)</f>
        <v>43983</v>
      </c>
      <c r="D141" s="29" t="str">
        <f t="shared" si="5"/>
        <v>Veuillez inscrire votre nom</v>
      </c>
      <c r="E141" s="7">
        <f>Données!H24</f>
        <v>43984</v>
      </c>
      <c r="F141" s="6" t="str">
        <f>INDEX(Données!$F$2:$L$54,MATCH('Portail d''objectifs'!E141,Données!$G$2:$G$54,1),1)</f>
        <v>23</v>
      </c>
      <c r="G141" s="18" t="b">
        <f t="shared" si="6"/>
        <v>0</v>
      </c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1"/>
      <c r="W141" s="75"/>
      <c r="X141" s="75"/>
      <c r="Y141" s="75"/>
      <c r="Z141" s="96">
        <f>SUM(Tableau1[[#This Row],[A-1]:[G-5]])</f>
        <v>0</v>
      </c>
      <c r="AA141" s="96" t="str">
        <f>IF(AND(Z141&gt;0,Tableau1[[#This Row],[CDS]]=""),"Oui","Non")</f>
        <v>Non</v>
      </c>
      <c r="AB141" s="75"/>
      <c r="AC141" s="75"/>
      <c r="AD141" s="75"/>
      <c r="AE141" s="75"/>
      <c r="AF141" s="75"/>
      <c r="AG141" s="75"/>
      <c r="AH141" s="75"/>
      <c r="AI141" s="75"/>
      <c r="AJ141" s="81"/>
      <c r="AK141" s="75"/>
      <c r="AL141" s="75"/>
    </row>
    <row r="142" spans="1:38" hidden="1" x14ac:dyDescent="0.25">
      <c r="A142" s="75"/>
      <c r="B142" s="75"/>
      <c r="C142" s="35">
        <f>INDEX(Données!$F$2:$L$54,MATCH(F142,Données!$F$2:$F$54,0),2)</f>
        <v>43983</v>
      </c>
      <c r="D142" s="29" t="str">
        <f t="shared" si="5"/>
        <v>Veuillez inscrire votre nom</v>
      </c>
      <c r="E142" s="7">
        <f>Données!I24</f>
        <v>43985</v>
      </c>
      <c r="F142" s="6" t="str">
        <f>INDEX(Données!$F$2:$L$54,MATCH('Portail d''objectifs'!E142,Données!$G$2:$G$54,1),1)</f>
        <v>23</v>
      </c>
      <c r="G142" s="18" t="b">
        <f t="shared" si="6"/>
        <v>0</v>
      </c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1"/>
      <c r="W142" s="75"/>
      <c r="X142" s="75"/>
      <c r="Y142" s="75"/>
      <c r="Z142" s="96">
        <f>SUM(Tableau1[[#This Row],[A-1]:[G-5]])</f>
        <v>0</v>
      </c>
      <c r="AA142" s="96" t="str">
        <f>IF(AND(Z142&gt;0,Tableau1[[#This Row],[CDS]]=""),"Oui","Non")</f>
        <v>Non</v>
      </c>
      <c r="AB142" s="75"/>
      <c r="AC142" s="75"/>
      <c r="AD142" s="75"/>
      <c r="AE142" s="75"/>
      <c r="AF142" s="75"/>
      <c r="AG142" s="75"/>
      <c r="AH142" s="75"/>
      <c r="AI142" s="75"/>
      <c r="AJ142" s="81"/>
      <c r="AK142" s="75"/>
      <c r="AL142" s="75"/>
    </row>
    <row r="143" spans="1:38" hidden="1" x14ac:dyDescent="0.25">
      <c r="A143" s="75"/>
      <c r="B143" s="75"/>
      <c r="C143" s="35">
        <f>INDEX(Données!$F$2:$L$54,MATCH(F143,Données!$F$2:$F$54,0),2)</f>
        <v>43983</v>
      </c>
      <c r="D143" s="29" t="str">
        <f t="shared" si="5"/>
        <v>Veuillez inscrire votre nom</v>
      </c>
      <c r="E143" s="7">
        <f>Données!J24</f>
        <v>43986</v>
      </c>
      <c r="F143" s="6" t="str">
        <f>INDEX(Données!$F$2:$L$54,MATCH('Portail d''objectifs'!E143,Données!$G$2:$G$54,1),1)</f>
        <v>23</v>
      </c>
      <c r="G143" s="18" t="b">
        <f t="shared" si="6"/>
        <v>0</v>
      </c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1"/>
      <c r="W143" s="75"/>
      <c r="X143" s="75"/>
      <c r="Y143" s="75"/>
      <c r="Z143" s="96">
        <f>SUM(Tableau1[[#This Row],[A-1]:[G-5]])</f>
        <v>0</v>
      </c>
      <c r="AA143" s="96" t="str">
        <f>IF(AND(Z143&gt;0,Tableau1[[#This Row],[CDS]]=""),"Oui","Non")</f>
        <v>Non</v>
      </c>
      <c r="AB143" s="75"/>
      <c r="AC143" s="75"/>
      <c r="AD143" s="75"/>
      <c r="AE143" s="75"/>
      <c r="AF143" s="75"/>
      <c r="AG143" s="75"/>
      <c r="AH143" s="75"/>
      <c r="AI143" s="75"/>
      <c r="AJ143" s="81"/>
      <c r="AK143" s="75"/>
      <c r="AL143" s="75"/>
    </row>
    <row r="144" spans="1:38" hidden="1" x14ac:dyDescent="0.25">
      <c r="A144" s="75"/>
      <c r="B144" s="75"/>
      <c r="C144" s="35">
        <f>INDEX(Données!$F$2:$L$54,MATCH(F144,Données!$F$2:$F$54,0),2)</f>
        <v>43983</v>
      </c>
      <c r="D144" s="29" t="str">
        <f t="shared" si="5"/>
        <v>Veuillez inscrire votre nom</v>
      </c>
      <c r="E144" s="7">
        <f>Données!K24</f>
        <v>43987</v>
      </c>
      <c r="F144" s="6" t="str">
        <f>INDEX(Données!$F$2:$L$54,MATCH('Portail d''objectifs'!E144,Données!$G$2:$G$54,1),1)</f>
        <v>23</v>
      </c>
      <c r="G144" s="18" t="b">
        <f t="shared" si="6"/>
        <v>0</v>
      </c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1"/>
      <c r="W144" s="75"/>
      <c r="X144" s="75"/>
      <c r="Y144" s="75"/>
      <c r="Z144" s="96">
        <f>SUM(Tableau1[[#This Row],[A-1]:[G-5]])</f>
        <v>0</v>
      </c>
      <c r="AA144" s="96" t="str">
        <f>IF(AND(Z144&gt;0,Tableau1[[#This Row],[CDS]]=""),"Oui","Non")</f>
        <v>Non</v>
      </c>
      <c r="AB144" s="75"/>
      <c r="AC144" s="75"/>
      <c r="AD144" s="75"/>
      <c r="AE144" s="75"/>
      <c r="AF144" s="75"/>
      <c r="AG144" s="75"/>
      <c r="AH144" s="75"/>
      <c r="AI144" s="75"/>
      <c r="AJ144" s="81"/>
      <c r="AK144" s="75"/>
      <c r="AL144" s="75"/>
    </row>
    <row r="145" spans="1:38" hidden="1" x14ac:dyDescent="0.25">
      <c r="A145" s="75"/>
      <c r="B145" s="75"/>
      <c r="C145" s="35">
        <f>INDEX(Données!$F$2:$L$54,MATCH(F145,Données!$F$2:$F$54,0),2)</f>
        <v>43983</v>
      </c>
      <c r="D145" s="29" t="str">
        <f t="shared" si="5"/>
        <v>Veuillez inscrire votre nom</v>
      </c>
      <c r="E145" s="7">
        <f>Données!L24</f>
        <v>43988</v>
      </c>
      <c r="F145" s="6" t="str">
        <f>INDEX(Données!$F$2:$L$54,MATCH('Portail d''objectifs'!E145,Données!$G$2:$G$54,1),1)</f>
        <v>23</v>
      </c>
      <c r="G145" s="18" t="b">
        <f t="shared" si="6"/>
        <v>0</v>
      </c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1"/>
      <c r="W145" s="75"/>
      <c r="X145" s="75"/>
      <c r="Y145" s="75"/>
      <c r="Z145" s="96">
        <f>SUM(Tableau1[[#This Row],[A-1]:[G-5]])</f>
        <v>0</v>
      </c>
      <c r="AA145" s="96" t="str">
        <f>IF(AND(Z145&gt;0,Tableau1[[#This Row],[CDS]]=""),"Oui","Non")</f>
        <v>Non</v>
      </c>
      <c r="AB145" s="75"/>
      <c r="AC145" s="75"/>
      <c r="AD145" s="75"/>
      <c r="AE145" s="75"/>
      <c r="AF145" s="75"/>
      <c r="AG145" s="75"/>
      <c r="AH145" s="75"/>
      <c r="AI145" s="75"/>
      <c r="AJ145" s="81"/>
      <c r="AK145" s="75"/>
      <c r="AL145" s="75"/>
    </row>
    <row r="146" spans="1:38" hidden="1" x14ac:dyDescent="0.25">
      <c r="A146" s="75"/>
      <c r="B146" s="75"/>
      <c r="C146" s="35">
        <f>INDEX(Données!$F$2:$L$54,MATCH(F146,Données!$F$2:$F$54,0),2)</f>
        <v>43990</v>
      </c>
      <c r="D146" s="29" t="str">
        <f t="shared" si="5"/>
        <v>Veuillez inscrire votre nom</v>
      </c>
      <c r="E146" s="7">
        <f>Données!G25</f>
        <v>43990</v>
      </c>
      <c r="F146" s="6" t="str">
        <f>INDEX(Données!$F$2:$L$54,MATCH('Portail d''objectifs'!E146,Données!$G$2:$G$54,1),1)</f>
        <v>24</v>
      </c>
      <c r="G146" s="18" t="b">
        <f t="shared" si="6"/>
        <v>0</v>
      </c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1"/>
      <c r="W146" s="75"/>
      <c r="X146" s="75"/>
      <c r="Y146" s="75"/>
      <c r="Z146" s="96">
        <f>SUM(Tableau1[[#This Row],[A-1]:[G-5]])</f>
        <v>0</v>
      </c>
      <c r="AA146" s="96" t="str">
        <f>IF(AND(Z146&gt;0,Tableau1[[#This Row],[CDS]]=""),"Oui","Non")</f>
        <v>Non</v>
      </c>
      <c r="AB146" s="75"/>
      <c r="AC146" s="75"/>
      <c r="AD146" s="75"/>
      <c r="AE146" s="75"/>
      <c r="AF146" s="75"/>
      <c r="AG146" s="75"/>
      <c r="AH146" s="75"/>
      <c r="AI146" s="75"/>
      <c r="AJ146" s="81"/>
      <c r="AK146" s="75"/>
      <c r="AL146" s="75"/>
    </row>
    <row r="147" spans="1:38" hidden="1" x14ac:dyDescent="0.25">
      <c r="A147" s="75"/>
      <c r="B147" s="75"/>
      <c r="C147" s="35">
        <f>INDEX(Données!$F$2:$L$54,MATCH(F147,Données!$F$2:$F$54,0),2)</f>
        <v>43990</v>
      </c>
      <c r="D147" s="29" t="str">
        <f t="shared" si="5"/>
        <v>Veuillez inscrire votre nom</v>
      </c>
      <c r="E147" s="7">
        <f>Données!H25</f>
        <v>43991</v>
      </c>
      <c r="F147" s="6" t="str">
        <f>INDEX(Données!$F$2:$L$54,MATCH('Portail d''objectifs'!E147,Données!$G$2:$G$54,1),1)</f>
        <v>24</v>
      </c>
      <c r="G147" s="18" t="b">
        <f t="shared" si="6"/>
        <v>0</v>
      </c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1"/>
      <c r="W147" s="75"/>
      <c r="X147" s="75"/>
      <c r="Y147" s="75"/>
      <c r="Z147" s="96">
        <f>SUM(Tableau1[[#This Row],[A-1]:[G-5]])</f>
        <v>0</v>
      </c>
      <c r="AA147" s="96" t="str">
        <f>IF(AND(Z147&gt;0,Tableau1[[#This Row],[CDS]]=""),"Oui","Non")</f>
        <v>Non</v>
      </c>
      <c r="AB147" s="75"/>
      <c r="AC147" s="75"/>
      <c r="AD147" s="75"/>
      <c r="AE147" s="75"/>
      <c r="AF147" s="75"/>
      <c r="AG147" s="75"/>
      <c r="AH147" s="75"/>
      <c r="AI147" s="75"/>
      <c r="AJ147" s="81"/>
      <c r="AK147" s="75"/>
      <c r="AL147" s="75"/>
    </row>
    <row r="148" spans="1:38" hidden="1" x14ac:dyDescent="0.25">
      <c r="A148" s="75"/>
      <c r="B148" s="75"/>
      <c r="C148" s="35">
        <f>INDEX(Données!$F$2:$L$54,MATCH(F148,Données!$F$2:$F$54,0),2)</f>
        <v>43990</v>
      </c>
      <c r="D148" s="29" t="str">
        <f t="shared" si="5"/>
        <v>Veuillez inscrire votre nom</v>
      </c>
      <c r="E148" s="7">
        <f>Données!I25</f>
        <v>43992</v>
      </c>
      <c r="F148" s="6" t="str">
        <f>INDEX(Données!$F$2:$L$54,MATCH('Portail d''objectifs'!E148,Données!$G$2:$G$54,1),1)</f>
        <v>24</v>
      </c>
      <c r="G148" s="18" t="b">
        <f t="shared" si="6"/>
        <v>0</v>
      </c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1"/>
      <c r="W148" s="75"/>
      <c r="X148" s="75"/>
      <c r="Y148" s="75"/>
      <c r="Z148" s="96">
        <f>SUM(Tableau1[[#This Row],[A-1]:[G-5]])</f>
        <v>0</v>
      </c>
      <c r="AA148" s="96" t="str">
        <f>IF(AND(Z148&gt;0,Tableau1[[#This Row],[CDS]]=""),"Oui","Non")</f>
        <v>Non</v>
      </c>
      <c r="AB148" s="75"/>
      <c r="AC148" s="75"/>
      <c r="AD148" s="75"/>
      <c r="AE148" s="75"/>
      <c r="AF148" s="75"/>
      <c r="AG148" s="75"/>
      <c r="AH148" s="75"/>
      <c r="AI148" s="75"/>
      <c r="AJ148" s="81"/>
      <c r="AK148" s="75"/>
      <c r="AL148" s="75"/>
    </row>
    <row r="149" spans="1:38" hidden="1" x14ac:dyDescent="0.25">
      <c r="A149" s="75"/>
      <c r="B149" s="75"/>
      <c r="C149" s="35">
        <f>INDEX(Données!$F$2:$L$54,MATCH(F149,Données!$F$2:$F$54,0),2)</f>
        <v>43990</v>
      </c>
      <c r="D149" s="29" t="str">
        <f t="shared" si="5"/>
        <v>Veuillez inscrire votre nom</v>
      </c>
      <c r="E149" s="7">
        <f>Données!J25</f>
        <v>43993</v>
      </c>
      <c r="F149" s="6" t="str">
        <f>INDEX(Données!$F$2:$L$54,MATCH('Portail d''objectifs'!E149,Données!$G$2:$G$54,1),1)</f>
        <v>24</v>
      </c>
      <c r="G149" s="18" t="b">
        <f t="shared" si="6"/>
        <v>0</v>
      </c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1"/>
      <c r="W149" s="75"/>
      <c r="X149" s="75"/>
      <c r="Y149" s="75"/>
      <c r="Z149" s="96">
        <f>SUM(Tableau1[[#This Row],[A-1]:[G-5]])</f>
        <v>0</v>
      </c>
      <c r="AA149" s="96" t="str">
        <f>IF(AND(Z149&gt;0,Tableau1[[#This Row],[CDS]]=""),"Oui","Non")</f>
        <v>Non</v>
      </c>
      <c r="AB149" s="75"/>
      <c r="AC149" s="75"/>
      <c r="AD149" s="75"/>
      <c r="AE149" s="75"/>
      <c r="AF149" s="75"/>
      <c r="AG149" s="75"/>
      <c r="AH149" s="75"/>
      <c r="AI149" s="75"/>
      <c r="AJ149" s="81"/>
      <c r="AK149" s="75"/>
      <c r="AL149" s="75"/>
    </row>
    <row r="150" spans="1:38" hidden="1" x14ac:dyDescent="0.25">
      <c r="A150" s="75"/>
      <c r="B150" s="75"/>
      <c r="C150" s="35">
        <f>INDEX(Données!$F$2:$L$54,MATCH(F150,Données!$F$2:$F$54,0),2)</f>
        <v>43990</v>
      </c>
      <c r="D150" s="29" t="str">
        <f t="shared" si="5"/>
        <v>Veuillez inscrire votre nom</v>
      </c>
      <c r="E150" s="7">
        <f>Données!K25</f>
        <v>43994</v>
      </c>
      <c r="F150" s="6" t="str">
        <f>INDEX(Données!$F$2:$L$54,MATCH('Portail d''objectifs'!E150,Données!$G$2:$G$54,1),1)</f>
        <v>24</v>
      </c>
      <c r="G150" s="18" t="b">
        <f t="shared" si="6"/>
        <v>0</v>
      </c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1"/>
      <c r="W150" s="75"/>
      <c r="X150" s="75"/>
      <c r="Y150" s="75"/>
      <c r="Z150" s="96">
        <f>SUM(Tableau1[[#This Row],[A-1]:[G-5]])</f>
        <v>0</v>
      </c>
      <c r="AA150" s="96" t="str">
        <f>IF(AND(Z150&gt;0,Tableau1[[#This Row],[CDS]]=""),"Oui","Non")</f>
        <v>Non</v>
      </c>
      <c r="AB150" s="75"/>
      <c r="AC150" s="75"/>
      <c r="AD150" s="75"/>
      <c r="AE150" s="75"/>
      <c r="AF150" s="75"/>
      <c r="AG150" s="75"/>
      <c r="AH150" s="75"/>
      <c r="AI150" s="75"/>
      <c r="AJ150" s="81"/>
      <c r="AK150" s="75"/>
      <c r="AL150" s="75"/>
    </row>
    <row r="151" spans="1:38" hidden="1" x14ac:dyDescent="0.25">
      <c r="A151" s="75"/>
      <c r="B151" s="75"/>
      <c r="C151" s="35">
        <f>INDEX(Données!$F$2:$L$54,MATCH(F151,Données!$F$2:$F$54,0),2)</f>
        <v>43990</v>
      </c>
      <c r="D151" s="29" t="str">
        <f t="shared" si="5"/>
        <v>Veuillez inscrire votre nom</v>
      </c>
      <c r="E151" s="7">
        <f>Données!L25</f>
        <v>43995</v>
      </c>
      <c r="F151" s="6" t="str">
        <f>INDEX(Données!$F$2:$L$54,MATCH('Portail d''objectifs'!E151,Données!$G$2:$G$54,1),1)</f>
        <v>24</v>
      </c>
      <c r="G151" s="18" t="b">
        <f t="shared" si="6"/>
        <v>0</v>
      </c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1"/>
      <c r="W151" s="75"/>
      <c r="X151" s="75"/>
      <c r="Y151" s="75"/>
      <c r="Z151" s="96">
        <f>SUM(Tableau1[[#This Row],[A-1]:[G-5]])</f>
        <v>0</v>
      </c>
      <c r="AA151" s="96" t="str">
        <f>IF(AND(Z151&gt;0,Tableau1[[#This Row],[CDS]]=""),"Oui","Non")</f>
        <v>Non</v>
      </c>
      <c r="AB151" s="75"/>
      <c r="AC151" s="75"/>
      <c r="AD151" s="75"/>
      <c r="AE151" s="75"/>
      <c r="AF151" s="75"/>
      <c r="AG151" s="75"/>
      <c r="AH151" s="75"/>
      <c r="AI151" s="75"/>
      <c r="AJ151" s="81"/>
      <c r="AK151" s="75"/>
      <c r="AL151" s="75"/>
    </row>
    <row r="152" spans="1:38" hidden="1" x14ac:dyDescent="0.25">
      <c r="A152" s="75"/>
      <c r="B152" s="75"/>
      <c r="C152" s="35">
        <f>INDEX(Données!$F$2:$L$54,MATCH(F152,Données!$F$2:$F$54,0),2)</f>
        <v>43997</v>
      </c>
      <c r="D152" s="29" t="str">
        <f t="shared" si="5"/>
        <v>Veuillez inscrire votre nom</v>
      </c>
      <c r="E152" s="7">
        <f>Données!G26</f>
        <v>43997</v>
      </c>
      <c r="F152" s="6" t="str">
        <f>INDEX(Données!$F$2:$L$54,MATCH('Portail d''objectifs'!E152,Données!$G$2:$G$54,1),1)</f>
        <v>25</v>
      </c>
      <c r="G152" s="18" t="b">
        <f t="shared" si="6"/>
        <v>0</v>
      </c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1"/>
      <c r="W152" s="75"/>
      <c r="X152" s="75"/>
      <c r="Y152" s="75"/>
      <c r="Z152" s="96">
        <f>SUM(Tableau1[[#This Row],[A-1]:[G-5]])</f>
        <v>0</v>
      </c>
      <c r="AA152" s="96" t="str">
        <f>IF(AND(Z152&gt;0,Tableau1[[#This Row],[CDS]]=""),"Oui","Non")</f>
        <v>Non</v>
      </c>
      <c r="AB152" s="75"/>
      <c r="AC152" s="75"/>
      <c r="AD152" s="75"/>
      <c r="AE152" s="75"/>
      <c r="AF152" s="75"/>
      <c r="AG152" s="75"/>
      <c r="AH152" s="75"/>
      <c r="AI152" s="75"/>
      <c r="AJ152" s="81"/>
      <c r="AK152" s="75"/>
      <c r="AL152" s="75"/>
    </row>
    <row r="153" spans="1:38" hidden="1" x14ac:dyDescent="0.25">
      <c r="A153" s="75"/>
      <c r="B153" s="75"/>
      <c r="C153" s="35">
        <f>INDEX(Données!$F$2:$L$54,MATCH(F153,Données!$F$2:$F$54,0),2)</f>
        <v>43997</v>
      </c>
      <c r="D153" s="29" t="str">
        <f t="shared" si="5"/>
        <v>Veuillez inscrire votre nom</v>
      </c>
      <c r="E153" s="7">
        <f>Données!H26</f>
        <v>43998</v>
      </c>
      <c r="F153" s="6" t="str">
        <f>INDEX(Données!$F$2:$L$54,MATCH('Portail d''objectifs'!E153,Données!$G$2:$G$54,1),1)</f>
        <v>25</v>
      </c>
      <c r="G153" s="18" t="b">
        <f t="shared" si="6"/>
        <v>0</v>
      </c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1"/>
      <c r="W153" s="75"/>
      <c r="X153" s="75"/>
      <c r="Y153" s="75"/>
      <c r="Z153" s="96">
        <f>SUM(Tableau1[[#This Row],[A-1]:[G-5]])</f>
        <v>0</v>
      </c>
      <c r="AA153" s="96" t="str">
        <f>IF(AND(Z153&gt;0,Tableau1[[#This Row],[CDS]]=""),"Oui","Non")</f>
        <v>Non</v>
      </c>
      <c r="AB153" s="75"/>
      <c r="AC153" s="75"/>
      <c r="AD153" s="75"/>
      <c r="AE153" s="75"/>
      <c r="AF153" s="75"/>
      <c r="AG153" s="75"/>
      <c r="AH153" s="75"/>
      <c r="AI153" s="75"/>
      <c r="AJ153" s="81"/>
      <c r="AK153" s="75"/>
      <c r="AL153" s="75"/>
    </row>
    <row r="154" spans="1:38" hidden="1" x14ac:dyDescent="0.25">
      <c r="A154" s="75"/>
      <c r="B154" s="75"/>
      <c r="C154" s="35">
        <f>INDEX(Données!$F$2:$L$54,MATCH(F154,Données!$F$2:$F$54,0),2)</f>
        <v>43997</v>
      </c>
      <c r="D154" s="29" t="str">
        <f t="shared" si="5"/>
        <v>Veuillez inscrire votre nom</v>
      </c>
      <c r="E154" s="7">
        <f>Données!I26</f>
        <v>43999</v>
      </c>
      <c r="F154" s="6" t="str">
        <f>INDEX(Données!$F$2:$L$54,MATCH('Portail d''objectifs'!E154,Données!$G$2:$G$54,1),1)</f>
        <v>25</v>
      </c>
      <c r="G154" s="18" t="b">
        <f t="shared" si="6"/>
        <v>0</v>
      </c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1"/>
      <c r="W154" s="75"/>
      <c r="X154" s="75"/>
      <c r="Y154" s="75"/>
      <c r="Z154" s="96">
        <f>SUM(Tableau1[[#This Row],[A-1]:[G-5]])</f>
        <v>0</v>
      </c>
      <c r="AA154" s="96" t="str">
        <f>IF(AND(Z154&gt;0,Tableau1[[#This Row],[CDS]]=""),"Oui","Non")</f>
        <v>Non</v>
      </c>
      <c r="AB154" s="75"/>
      <c r="AC154" s="75"/>
      <c r="AD154" s="75"/>
      <c r="AE154" s="75"/>
      <c r="AF154" s="75"/>
      <c r="AG154" s="75"/>
      <c r="AH154" s="75"/>
      <c r="AI154" s="75"/>
      <c r="AJ154" s="81"/>
      <c r="AK154" s="75"/>
      <c r="AL154" s="75"/>
    </row>
    <row r="155" spans="1:38" hidden="1" x14ac:dyDescent="0.25">
      <c r="A155" s="75"/>
      <c r="B155" s="75"/>
      <c r="C155" s="35">
        <f>INDEX(Données!$F$2:$L$54,MATCH(F155,Données!$F$2:$F$54,0),2)</f>
        <v>43997</v>
      </c>
      <c r="D155" s="29" t="str">
        <f t="shared" si="5"/>
        <v>Veuillez inscrire votre nom</v>
      </c>
      <c r="E155" s="7">
        <f>Données!J26</f>
        <v>44000</v>
      </c>
      <c r="F155" s="6" t="str">
        <f>INDEX(Données!$F$2:$L$54,MATCH('Portail d''objectifs'!E155,Données!$G$2:$G$54,1),1)</f>
        <v>25</v>
      </c>
      <c r="G155" s="18" t="b">
        <f t="shared" si="6"/>
        <v>0</v>
      </c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1"/>
      <c r="W155" s="75"/>
      <c r="X155" s="75"/>
      <c r="Y155" s="75"/>
      <c r="Z155" s="96">
        <f>SUM(Tableau1[[#This Row],[A-1]:[G-5]])</f>
        <v>0</v>
      </c>
      <c r="AA155" s="96" t="str">
        <f>IF(AND(Z155&gt;0,Tableau1[[#This Row],[CDS]]=""),"Oui","Non")</f>
        <v>Non</v>
      </c>
      <c r="AB155" s="75"/>
      <c r="AC155" s="75"/>
      <c r="AD155" s="75"/>
      <c r="AE155" s="75"/>
      <c r="AF155" s="75"/>
      <c r="AG155" s="75"/>
      <c r="AH155" s="75"/>
      <c r="AI155" s="75"/>
      <c r="AJ155" s="81"/>
      <c r="AK155" s="75"/>
      <c r="AL155" s="75"/>
    </row>
    <row r="156" spans="1:38" hidden="1" x14ac:dyDescent="0.25">
      <c r="A156" s="75"/>
      <c r="B156" s="75"/>
      <c r="C156" s="35">
        <f>INDEX(Données!$F$2:$L$54,MATCH(F156,Données!$F$2:$F$54,0),2)</f>
        <v>43997</v>
      </c>
      <c r="D156" s="29" t="str">
        <f t="shared" si="5"/>
        <v>Veuillez inscrire votre nom</v>
      </c>
      <c r="E156" s="7">
        <f>Données!K26</f>
        <v>44001</v>
      </c>
      <c r="F156" s="6" t="str">
        <f>INDEX(Données!$F$2:$L$54,MATCH('Portail d''objectifs'!E156,Données!$G$2:$G$54,1),1)</f>
        <v>25</v>
      </c>
      <c r="G156" s="18" t="b">
        <f t="shared" si="6"/>
        <v>0</v>
      </c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1"/>
      <c r="W156" s="75"/>
      <c r="X156" s="75"/>
      <c r="Y156" s="75"/>
      <c r="Z156" s="96">
        <f>SUM(Tableau1[[#This Row],[A-1]:[G-5]])</f>
        <v>0</v>
      </c>
      <c r="AA156" s="96" t="str">
        <f>IF(AND(Z156&gt;0,Tableau1[[#This Row],[CDS]]=""),"Oui","Non")</f>
        <v>Non</v>
      </c>
      <c r="AB156" s="75"/>
      <c r="AC156" s="75"/>
      <c r="AD156" s="75"/>
      <c r="AE156" s="75"/>
      <c r="AF156" s="75"/>
      <c r="AG156" s="75"/>
      <c r="AH156" s="75"/>
      <c r="AI156" s="75"/>
      <c r="AJ156" s="81"/>
      <c r="AK156" s="75"/>
      <c r="AL156" s="75"/>
    </row>
    <row r="157" spans="1:38" hidden="1" x14ac:dyDescent="0.25">
      <c r="A157" s="75"/>
      <c r="B157" s="75"/>
      <c r="C157" s="35">
        <f>INDEX(Données!$F$2:$L$54,MATCH(F157,Données!$F$2:$F$54,0),2)</f>
        <v>43997</v>
      </c>
      <c r="D157" s="29" t="str">
        <f t="shared" si="5"/>
        <v>Veuillez inscrire votre nom</v>
      </c>
      <c r="E157" s="7">
        <f>Données!L26</f>
        <v>44002</v>
      </c>
      <c r="F157" s="6" t="str">
        <f>INDEX(Données!$F$2:$L$54,MATCH('Portail d''objectifs'!E157,Données!$G$2:$G$54,1),1)</f>
        <v>25</v>
      </c>
      <c r="G157" s="18" t="b">
        <f t="shared" si="6"/>
        <v>0</v>
      </c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1"/>
      <c r="W157" s="75"/>
      <c r="X157" s="75"/>
      <c r="Y157" s="75"/>
      <c r="Z157" s="96">
        <f>SUM(Tableau1[[#This Row],[A-1]:[G-5]])</f>
        <v>0</v>
      </c>
      <c r="AA157" s="96" t="str">
        <f>IF(AND(Z157&gt;0,Tableau1[[#This Row],[CDS]]=""),"Oui","Non")</f>
        <v>Non</v>
      </c>
      <c r="AB157" s="75"/>
      <c r="AC157" s="75"/>
      <c r="AD157" s="75"/>
      <c r="AE157" s="75"/>
      <c r="AF157" s="75"/>
      <c r="AG157" s="75"/>
      <c r="AH157" s="75"/>
      <c r="AI157" s="75"/>
      <c r="AJ157" s="81"/>
      <c r="AK157" s="75"/>
      <c r="AL157" s="75"/>
    </row>
    <row r="158" spans="1:38" hidden="1" x14ac:dyDescent="0.25">
      <c r="A158" s="75"/>
      <c r="B158" s="75"/>
      <c r="C158" s="35">
        <f>INDEX(Données!$F$2:$L$54,MATCH(F158,Données!$F$2:$F$54,0),2)</f>
        <v>44004</v>
      </c>
      <c r="D158" s="29" t="str">
        <f t="shared" si="5"/>
        <v>Veuillez inscrire votre nom</v>
      </c>
      <c r="E158" s="7">
        <f>Données!G27</f>
        <v>44004</v>
      </c>
      <c r="F158" s="6" t="str">
        <f>INDEX(Données!$F$2:$L$54,MATCH('Portail d''objectifs'!E158,Données!$G$2:$G$54,1),1)</f>
        <v>26</v>
      </c>
      <c r="G158" s="18" t="b">
        <f t="shared" si="6"/>
        <v>0</v>
      </c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1"/>
      <c r="W158" s="75"/>
      <c r="X158" s="75"/>
      <c r="Y158" s="75"/>
      <c r="Z158" s="96">
        <f>SUM(Tableau1[[#This Row],[A-1]:[G-5]])</f>
        <v>0</v>
      </c>
      <c r="AA158" s="96" t="str">
        <f>IF(AND(Z158&gt;0,Tableau1[[#This Row],[CDS]]=""),"Oui","Non")</f>
        <v>Non</v>
      </c>
      <c r="AB158" s="75"/>
      <c r="AC158" s="75"/>
      <c r="AD158" s="75"/>
      <c r="AE158" s="75"/>
      <c r="AF158" s="75"/>
      <c r="AG158" s="75"/>
      <c r="AH158" s="75"/>
      <c r="AI158" s="75"/>
      <c r="AJ158" s="81"/>
      <c r="AK158" s="75"/>
      <c r="AL158" s="75"/>
    </row>
    <row r="159" spans="1:38" hidden="1" x14ac:dyDescent="0.25">
      <c r="A159" s="75"/>
      <c r="B159" s="75"/>
      <c r="C159" s="35">
        <f>INDEX(Données!$F$2:$L$54,MATCH(F159,Données!$F$2:$F$54,0),2)</f>
        <v>44004</v>
      </c>
      <c r="D159" s="29" t="str">
        <f t="shared" si="5"/>
        <v>Veuillez inscrire votre nom</v>
      </c>
      <c r="E159" s="7">
        <f>Données!H27</f>
        <v>44005</v>
      </c>
      <c r="F159" s="6" t="str">
        <f>INDEX(Données!$F$2:$L$54,MATCH('Portail d''objectifs'!E159,Données!$G$2:$G$54,1),1)</f>
        <v>26</v>
      </c>
      <c r="G159" s="18" t="b">
        <f t="shared" si="6"/>
        <v>0</v>
      </c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1"/>
      <c r="W159" s="75"/>
      <c r="X159" s="75"/>
      <c r="Y159" s="75"/>
      <c r="Z159" s="96">
        <f>SUM(Tableau1[[#This Row],[A-1]:[G-5]])</f>
        <v>0</v>
      </c>
      <c r="AA159" s="96" t="str">
        <f>IF(AND(Z159&gt;0,Tableau1[[#This Row],[CDS]]=""),"Oui","Non")</f>
        <v>Non</v>
      </c>
      <c r="AB159" s="75"/>
      <c r="AC159" s="75"/>
      <c r="AD159" s="75"/>
      <c r="AE159" s="75"/>
      <c r="AF159" s="75"/>
      <c r="AG159" s="75"/>
      <c r="AH159" s="75"/>
      <c r="AI159" s="75"/>
      <c r="AJ159" s="81"/>
      <c r="AK159" s="75"/>
      <c r="AL159" s="75"/>
    </row>
    <row r="160" spans="1:38" hidden="1" x14ac:dyDescent="0.25">
      <c r="A160" s="75"/>
      <c r="B160" s="75"/>
      <c r="C160" s="35">
        <f>INDEX(Données!$F$2:$L$54,MATCH(F160,Données!$F$2:$F$54,0),2)</f>
        <v>44004</v>
      </c>
      <c r="D160" s="29" t="str">
        <f t="shared" si="5"/>
        <v>Veuillez inscrire votre nom</v>
      </c>
      <c r="E160" s="7">
        <f>Données!I27</f>
        <v>44006</v>
      </c>
      <c r="F160" s="6" t="str">
        <f>INDEX(Données!$F$2:$L$54,MATCH('Portail d''objectifs'!E160,Données!$G$2:$G$54,1),1)</f>
        <v>26</v>
      </c>
      <c r="G160" s="18" t="b">
        <f t="shared" si="6"/>
        <v>0</v>
      </c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1"/>
      <c r="W160" s="75"/>
      <c r="X160" s="75"/>
      <c r="Y160" s="75"/>
      <c r="Z160" s="96">
        <f>SUM(Tableau1[[#This Row],[A-1]:[G-5]])</f>
        <v>0</v>
      </c>
      <c r="AA160" s="96" t="str">
        <f>IF(AND(Z160&gt;0,Tableau1[[#This Row],[CDS]]=""),"Oui","Non")</f>
        <v>Non</v>
      </c>
      <c r="AB160" s="75"/>
      <c r="AC160" s="75"/>
      <c r="AD160" s="75"/>
      <c r="AE160" s="75"/>
      <c r="AF160" s="75"/>
      <c r="AG160" s="75"/>
      <c r="AH160" s="75"/>
      <c r="AI160" s="75"/>
      <c r="AJ160" s="81"/>
      <c r="AK160" s="75"/>
      <c r="AL160" s="75"/>
    </row>
    <row r="161" spans="1:38" hidden="1" x14ac:dyDescent="0.25">
      <c r="A161" s="75"/>
      <c r="B161" s="75"/>
      <c r="C161" s="35">
        <f>INDEX(Données!$F$2:$L$54,MATCH(F161,Données!$F$2:$F$54,0),2)</f>
        <v>44004</v>
      </c>
      <c r="D161" s="29" t="str">
        <f t="shared" si="5"/>
        <v>Veuillez inscrire votre nom</v>
      </c>
      <c r="E161" s="7">
        <f>Données!J27</f>
        <v>44007</v>
      </c>
      <c r="F161" s="6" t="str">
        <f>INDEX(Données!$F$2:$L$54,MATCH('Portail d''objectifs'!E161,Données!$G$2:$G$54,1),1)</f>
        <v>26</v>
      </c>
      <c r="G161" s="18" t="b">
        <f t="shared" si="6"/>
        <v>0</v>
      </c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1"/>
      <c r="W161" s="75"/>
      <c r="X161" s="75"/>
      <c r="Y161" s="75"/>
      <c r="Z161" s="96">
        <f>SUM(Tableau1[[#This Row],[A-1]:[G-5]])</f>
        <v>0</v>
      </c>
      <c r="AA161" s="96" t="str">
        <f>IF(AND(Z161&gt;0,Tableau1[[#This Row],[CDS]]=""),"Oui","Non")</f>
        <v>Non</v>
      </c>
      <c r="AB161" s="75"/>
      <c r="AC161" s="75"/>
      <c r="AD161" s="75"/>
      <c r="AE161" s="75"/>
      <c r="AF161" s="75"/>
      <c r="AG161" s="75"/>
      <c r="AH161" s="75"/>
      <c r="AI161" s="75"/>
      <c r="AJ161" s="81"/>
      <c r="AK161" s="75"/>
      <c r="AL161" s="75"/>
    </row>
    <row r="162" spans="1:38" hidden="1" x14ac:dyDescent="0.25">
      <c r="A162" s="75"/>
      <c r="B162" s="75"/>
      <c r="C162" s="35">
        <f>INDEX(Données!$F$2:$L$54,MATCH(F162,Données!$F$2:$F$54,0),2)</f>
        <v>44004</v>
      </c>
      <c r="D162" s="29" t="str">
        <f t="shared" si="5"/>
        <v>Veuillez inscrire votre nom</v>
      </c>
      <c r="E162" s="7">
        <f>Données!K27</f>
        <v>44008</v>
      </c>
      <c r="F162" s="6" t="str">
        <f>INDEX(Données!$F$2:$L$54,MATCH('Portail d''objectifs'!E162,Données!$G$2:$G$54,1),1)</f>
        <v>26</v>
      </c>
      <c r="G162" s="18" t="b">
        <f t="shared" si="6"/>
        <v>0</v>
      </c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1"/>
      <c r="W162" s="75"/>
      <c r="X162" s="75"/>
      <c r="Y162" s="75"/>
      <c r="Z162" s="96">
        <f>SUM(Tableau1[[#This Row],[A-1]:[G-5]])</f>
        <v>0</v>
      </c>
      <c r="AA162" s="96" t="str">
        <f>IF(AND(Z162&gt;0,Tableau1[[#This Row],[CDS]]=""),"Oui","Non")</f>
        <v>Non</v>
      </c>
      <c r="AB162" s="75"/>
      <c r="AC162" s="75"/>
      <c r="AD162" s="75"/>
      <c r="AE162" s="75"/>
      <c r="AF162" s="75"/>
      <c r="AG162" s="75"/>
      <c r="AH162" s="75"/>
      <c r="AI162" s="75"/>
      <c r="AJ162" s="81"/>
      <c r="AK162" s="75"/>
      <c r="AL162" s="75"/>
    </row>
    <row r="163" spans="1:38" hidden="1" x14ac:dyDescent="0.25">
      <c r="A163" s="75"/>
      <c r="B163" s="75"/>
      <c r="C163" s="35">
        <f>INDEX(Données!$F$2:$L$54,MATCH(F163,Données!$F$2:$F$54,0),2)</f>
        <v>44004</v>
      </c>
      <c r="D163" s="29" t="str">
        <f t="shared" si="5"/>
        <v>Veuillez inscrire votre nom</v>
      </c>
      <c r="E163" s="7">
        <f>Données!L27</f>
        <v>44009</v>
      </c>
      <c r="F163" s="6" t="str">
        <f>INDEX(Données!$F$2:$L$54,MATCH('Portail d''objectifs'!E163,Données!$G$2:$G$54,1),1)</f>
        <v>26</v>
      </c>
      <c r="G163" s="18" t="b">
        <f t="shared" si="6"/>
        <v>0</v>
      </c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1"/>
      <c r="W163" s="75"/>
      <c r="X163" s="75"/>
      <c r="Y163" s="75"/>
      <c r="Z163" s="96">
        <f>SUM(Tableau1[[#This Row],[A-1]:[G-5]])</f>
        <v>0</v>
      </c>
      <c r="AA163" s="96" t="str">
        <f>IF(AND(Z163&gt;0,Tableau1[[#This Row],[CDS]]=""),"Oui","Non")</f>
        <v>Non</v>
      </c>
      <c r="AB163" s="75"/>
      <c r="AC163" s="75"/>
      <c r="AD163" s="75"/>
      <c r="AE163" s="75"/>
      <c r="AF163" s="75"/>
      <c r="AG163" s="75"/>
      <c r="AH163" s="75"/>
      <c r="AI163" s="75"/>
      <c r="AJ163" s="81"/>
      <c r="AK163" s="75"/>
      <c r="AL163" s="75"/>
    </row>
    <row r="164" spans="1:38" hidden="1" x14ac:dyDescent="0.25">
      <c r="A164" s="75"/>
      <c r="B164" s="75"/>
      <c r="C164" s="35">
        <f>INDEX(Données!$F$2:$L$54,MATCH(F164,Données!$F$2:$F$54,0),2)</f>
        <v>44011</v>
      </c>
      <c r="D164" s="29" t="str">
        <f t="shared" si="5"/>
        <v>Veuillez inscrire votre nom</v>
      </c>
      <c r="E164" s="7">
        <f>Données!G28</f>
        <v>44011</v>
      </c>
      <c r="F164" s="6" t="str">
        <f>INDEX(Données!$F$2:$L$54,MATCH('Portail d''objectifs'!E164,Données!$G$2:$G$54,1),1)</f>
        <v>27</v>
      </c>
      <c r="G164" s="18" t="b">
        <f t="shared" si="6"/>
        <v>0</v>
      </c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1"/>
      <c r="W164" s="75"/>
      <c r="X164" s="75"/>
      <c r="Y164" s="75"/>
      <c r="Z164" s="96">
        <f>SUM(Tableau1[[#This Row],[A-1]:[G-5]])</f>
        <v>0</v>
      </c>
      <c r="AA164" s="96" t="str">
        <f>IF(AND(Z164&gt;0,Tableau1[[#This Row],[CDS]]=""),"Oui","Non")</f>
        <v>Non</v>
      </c>
      <c r="AB164" s="75"/>
      <c r="AC164" s="75"/>
      <c r="AD164" s="75"/>
      <c r="AE164" s="75"/>
      <c r="AF164" s="75"/>
      <c r="AG164" s="75"/>
      <c r="AH164" s="75"/>
      <c r="AI164" s="75"/>
      <c r="AJ164" s="81"/>
      <c r="AK164" s="75"/>
      <c r="AL164" s="75"/>
    </row>
    <row r="165" spans="1:38" hidden="1" x14ac:dyDescent="0.25">
      <c r="A165" s="75"/>
      <c r="B165" s="75"/>
      <c r="C165" s="35">
        <f>INDEX(Données!$F$2:$L$54,MATCH(F165,Données!$F$2:$F$54,0),2)</f>
        <v>44011</v>
      </c>
      <c r="D165" s="29" t="str">
        <f t="shared" si="5"/>
        <v>Veuillez inscrire votre nom</v>
      </c>
      <c r="E165" s="7">
        <f>Données!H28</f>
        <v>44012</v>
      </c>
      <c r="F165" s="6" t="str">
        <f>INDEX(Données!$F$2:$L$54,MATCH('Portail d''objectifs'!E165,Données!$G$2:$G$54,1),1)</f>
        <v>27</v>
      </c>
      <c r="G165" s="18" t="b">
        <f t="shared" si="6"/>
        <v>0</v>
      </c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1"/>
      <c r="W165" s="75"/>
      <c r="X165" s="75"/>
      <c r="Y165" s="75"/>
      <c r="Z165" s="96">
        <f>SUM(Tableau1[[#This Row],[A-1]:[G-5]])</f>
        <v>0</v>
      </c>
      <c r="AA165" s="96" t="str">
        <f>IF(AND(Z165&gt;0,Tableau1[[#This Row],[CDS]]=""),"Oui","Non")</f>
        <v>Non</v>
      </c>
      <c r="AB165" s="75"/>
      <c r="AC165" s="75"/>
      <c r="AD165" s="75"/>
      <c r="AE165" s="75"/>
      <c r="AF165" s="75"/>
      <c r="AG165" s="75"/>
      <c r="AH165" s="75"/>
      <c r="AI165" s="75"/>
      <c r="AJ165" s="81"/>
      <c r="AK165" s="75"/>
      <c r="AL165" s="75"/>
    </row>
    <row r="166" spans="1:38" hidden="1" x14ac:dyDescent="0.25">
      <c r="A166" s="75"/>
      <c r="B166" s="75"/>
      <c r="C166" s="35">
        <f>INDEX(Données!$F$2:$L$54,MATCH(F166,Données!$F$2:$F$54,0),2)</f>
        <v>44011</v>
      </c>
      <c r="D166" s="29" t="str">
        <f t="shared" si="5"/>
        <v>Veuillez inscrire votre nom</v>
      </c>
      <c r="E166" s="7">
        <f>Données!I28</f>
        <v>44013</v>
      </c>
      <c r="F166" s="6" t="str">
        <f>INDEX(Données!$F$2:$L$54,MATCH('Portail d''objectifs'!E166,Données!$G$2:$G$54,1),1)</f>
        <v>27</v>
      </c>
      <c r="G166" s="18" t="b">
        <f t="shared" si="6"/>
        <v>0</v>
      </c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1"/>
      <c r="W166" s="75"/>
      <c r="X166" s="75"/>
      <c r="Y166" s="75"/>
      <c r="Z166" s="96">
        <f>SUM(Tableau1[[#This Row],[A-1]:[G-5]])</f>
        <v>0</v>
      </c>
      <c r="AA166" s="96" t="str">
        <f>IF(AND(Z166&gt;0,Tableau1[[#This Row],[CDS]]=""),"Oui","Non")</f>
        <v>Non</v>
      </c>
      <c r="AB166" s="75"/>
      <c r="AC166" s="75"/>
      <c r="AD166" s="75"/>
      <c r="AE166" s="75"/>
      <c r="AF166" s="75"/>
      <c r="AG166" s="75"/>
      <c r="AH166" s="75"/>
      <c r="AI166" s="75"/>
      <c r="AJ166" s="81"/>
      <c r="AK166" s="75"/>
      <c r="AL166" s="75"/>
    </row>
    <row r="167" spans="1:38" hidden="1" x14ac:dyDescent="0.25">
      <c r="A167" s="75"/>
      <c r="B167" s="75"/>
      <c r="C167" s="35">
        <f>INDEX(Données!$F$2:$L$54,MATCH(F167,Données!$F$2:$F$54,0),2)</f>
        <v>44011</v>
      </c>
      <c r="D167" s="29" t="str">
        <f t="shared" si="5"/>
        <v>Veuillez inscrire votre nom</v>
      </c>
      <c r="E167" s="7">
        <f>Données!J28</f>
        <v>44014</v>
      </c>
      <c r="F167" s="6" t="str">
        <f>INDEX(Données!$F$2:$L$54,MATCH('Portail d''objectifs'!E167,Données!$G$2:$G$54,1),1)</f>
        <v>27</v>
      </c>
      <c r="G167" s="18" t="b">
        <f t="shared" si="6"/>
        <v>0</v>
      </c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1"/>
      <c r="W167" s="75"/>
      <c r="X167" s="75"/>
      <c r="Y167" s="75"/>
      <c r="Z167" s="96">
        <f>SUM(Tableau1[[#This Row],[A-1]:[G-5]])</f>
        <v>0</v>
      </c>
      <c r="AA167" s="96" t="str">
        <f>IF(AND(Z167&gt;0,Tableau1[[#This Row],[CDS]]=""),"Oui","Non")</f>
        <v>Non</v>
      </c>
      <c r="AB167" s="75"/>
      <c r="AC167" s="75"/>
      <c r="AD167" s="75"/>
      <c r="AE167" s="75"/>
      <c r="AF167" s="75"/>
      <c r="AG167" s="75"/>
      <c r="AH167" s="75"/>
      <c r="AI167" s="75"/>
      <c r="AJ167" s="81"/>
      <c r="AK167" s="75"/>
      <c r="AL167" s="75"/>
    </row>
    <row r="168" spans="1:38" hidden="1" x14ac:dyDescent="0.25">
      <c r="A168" s="75"/>
      <c r="B168" s="75"/>
      <c r="C168" s="35">
        <f>INDEX(Données!$F$2:$L$54,MATCH(F168,Données!$F$2:$F$54,0),2)</f>
        <v>44011</v>
      </c>
      <c r="D168" s="29" t="str">
        <f t="shared" si="5"/>
        <v>Veuillez inscrire votre nom</v>
      </c>
      <c r="E168" s="7">
        <f>Données!K28</f>
        <v>44015</v>
      </c>
      <c r="F168" s="6" t="str">
        <f>INDEX(Données!$F$2:$L$54,MATCH('Portail d''objectifs'!E168,Données!$G$2:$G$54,1),1)</f>
        <v>27</v>
      </c>
      <c r="G168" s="18" t="b">
        <f t="shared" si="6"/>
        <v>0</v>
      </c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1"/>
      <c r="W168" s="75"/>
      <c r="X168" s="75"/>
      <c r="Y168" s="75"/>
      <c r="Z168" s="96">
        <f>SUM(Tableau1[[#This Row],[A-1]:[G-5]])</f>
        <v>0</v>
      </c>
      <c r="AA168" s="96" t="str">
        <f>IF(AND(Z168&gt;0,Tableau1[[#This Row],[CDS]]=""),"Oui","Non")</f>
        <v>Non</v>
      </c>
      <c r="AB168" s="75"/>
      <c r="AC168" s="75"/>
      <c r="AD168" s="75"/>
      <c r="AE168" s="75"/>
      <c r="AF168" s="75"/>
      <c r="AG168" s="75"/>
      <c r="AH168" s="75"/>
      <c r="AI168" s="75"/>
      <c r="AJ168" s="81"/>
      <c r="AK168" s="75"/>
      <c r="AL168" s="75"/>
    </row>
    <row r="169" spans="1:38" hidden="1" x14ac:dyDescent="0.25">
      <c r="A169" s="75"/>
      <c r="B169" s="75"/>
      <c r="C169" s="35">
        <f>INDEX(Données!$F$2:$L$54,MATCH(F169,Données!$F$2:$F$54,0),2)</f>
        <v>44011</v>
      </c>
      <c r="D169" s="29" t="str">
        <f t="shared" si="5"/>
        <v>Veuillez inscrire votre nom</v>
      </c>
      <c r="E169" s="7">
        <f>Données!L28</f>
        <v>44016</v>
      </c>
      <c r="F169" s="6" t="str">
        <f>INDEX(Données!$F$2:$L$54,MATCH('Portail d''objectifs'!E169,Données!$G$2:$G$54,1),1)</f>
        <v>27</v>
      </c>
      <c r="G169" s="18" t="b">
        <f t="shared" si="6"/>
        <v>0</v>
      </c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1"/>
      <c r="W169" s="75"/>
      <c r="X169" s="75"/>
      <c r="Y169" s="75"/>
      <c r="Z169" s="96">
        <f>SUM(Tableau1[[#This Row],[A-1]:[G-5]])</f>
        <v>0</v>
      </c>
      <c r="AA169" s="96" t="str">
        <f>IF(AND(Z169&gt;0,Tableau1[[#This Row],[CDS]]=""),"Oui","Non")</f>
        <v>Non</v>
      </c>
      <c r="AB169" s="75"/>
      <c r="AC169" s="75"/>
      <c r="AD169" s="75"/>
      <c r="AE169" s="75"/>
      <c r="AF169" s="75"/>
      <c r="AG169" s="75"/>
      <c r="AH169" s="75"/>
      <c r="AI169" s="75"/>
      <c r="AJ169" s="81"/>
      <c r="AK169" s="75"/>
      <c r="AL169" s="75"/>
    </row>
    <row r="170" spans="1:38" hidden="1" x14ac:dyDescent="0.25">
      <c r="A170" s="75"/>
      <c r="B170" s="75"/>
      <c r="C170" s="35">
        <f>INDEX(Données!$F$2:$L$54,MATCH(F170,Données!$F$2:$F$54,0),2)</f>
        <v>44018</v>
      </c>
      <c r="D170" s="29" t="str">
        <f t="shared" si="5"/>
        <v>Veuillez inscrire votre nom</v>
      </c>
      <c r="E170" s="7">
        <f>Données!G29</f>
        <v>44018</v>
      </c>
      <c r="F170" s="6" t="str">
        <f>INDEX(Données!$F$2:$L$54,MATCH('Portail d''objectifs'!E170,Données!$G$2:$G$54,1),1)</f>
        <v>28</v>
      </c>
      <c r="G170" s="18" t="b">
        <f t="shared" si="6"/>
        <v>0</v>
      </c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1"/>
      <c r="W170" s="75"/>
      <c r="X170" s="75"/>
      <c r="Y170" s="75"/>
      <c r="Z170" s="96">
        <f>SUM(Tableau1[[#This Row],[A-1]:[G-5]])</f>
        <v>0</v>
      </c>
      <c r="AA170" s="96" t="str">
        <f>IF(AND(Z170&gt;0,Tableau1[[#This Row],[CDS]]=""),"Oui","Non")</f>
        <v>Non</v>
      </c>
      <c r="AB170" s="75"/>
      <c r="AC170" s="75"/>
      <c r="AD170" s="75"/>
      <c r="AE170" s="75"/>
      <c r="AF170" s="75"/>
      <c r="AG170" s="75"/>
      <c r="AH170" s="75"/>
      <c r="AI170" s="75"/>
      <c r="AJ170" s="81"/>
      <c r="AK170" s="75"/>
      <c r="AL170" s="75"/>
    </row>
    <row r="171" spans="1:38" hidden="1" x14ac:dyDescent="0.25">
      <c r="A171" s="75"/>
      <c r="B171" s="75"/>
      <c r="C171" s="35">
        <f>INDEX(Données!$F$2:$L$54,MATCH(F171,Données!$F$2:$F$54,0),2)</f>
        <v>44018</v>
      </c>
      <c r="D171" s="29" t="str">
        <f t="shared" si="5"/>
        <v>Veuillez inscrire votre nom</v>
      </c>
      <c r="E171" s="7">
        <f>Données!H29</f>
        <v>44019</v>
      </c>
      <c r="F171" s="6" t="str">
        <f>INDEX(Données!$F$2:$L$54,MATCH('Portail d''objectifs'!E171,Données!$G$2:$G$54,1),1)</f>
        <v>28</v>
      </c>
      <c r="G171" s="18" t="b">
        <f t="shared" si="6"/>
        <v>0</v>
      </c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1"/>
      <c r="W171" s="75"/>
      <c r="X171" s="75"/>
      <c r="Y171" s="75"/>
      <c r="Z171" s="96">
        <f>SUM(Tableau1[[#This Row],[A-1]:[G-5]])</f>
        <v>0</v>
      </c>
      <c r="AA171" s="96" t="str">
        <f>IF(AND(Z171&gt;0,Tableau1[[#This Row],[CDS]]=""),"Oui","Non")</f>
        <v>Non</v>
      </c>
      <c r="AB171" s="75"/>
      <c r="AC171" s="75"/>
      <c r="AD171" s="75"/>
      <c r="AE171" s="75"/>
      <c r="AF171" s="75"/>
      <c r="AG171" s="75"/>
      <c r="AH171" s="75"/>
      <c r="AI171" s="75"/>
      <c r="AJ171" s="81"/>
      <c r="AK171" s="75"/>
      <c r="AL171" s="75"/>
    </row>
    <row r="172" spans="1:38" hidden="1" x14ac:dyDescent="0.25">
      <c r="A172" s="75"/>
      <c r="B172" s="75"/>
      <c r="C172" s="35">
        <f>INDEX(Données!$F$2:$L$54,MATCH(F172,Données!$F$2:$F$54,0),2)</f>
        <v>44018</v>
      </c>
      <c r="D172" s="29" t="str">
        <f t="shared" si="5"/>
        <v>Veuillez inscrire votre nom</v>
      </c>
      <c r="E172" s="7">
        <f>Données!I29</f>
        <v>44020</v>
      </c>
      <c r="F172" s="6" t="str">
        <f>INDEX(Données!$F$2:$L$54,MATCH('Portail d''objectifs'!E172,Données!$G$2:$G$54,1),1)</f>
        <v>28</v>
      </c>
      <c r="G172" s="18" t="b">
        <f t="shared" si="6"/>
        <v>0</v>
      </c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1"/>
      <c r="W172" s="75"/>
      <c r="X172" s="75"/>
      <c r="Y172" s="75"/>
      <c r="Z172" s="96">
        <f>SUM(Tableau1[[#This Row],[A-1]:[G-5]])</f>
        <v>0</v>
      </c>
      <c r="AA172" s="96" t="str">
        <f>IF(AND(Z172&gt;0,Tableau1[[#This Row],[CDS]]=""),"Oui","Non")</f>
        <v>Non</v>
      </c>
      <c r="AB172" s="75"/>
      <c r="AC172" s="75"/>
      <c r="AD172" s="75"/>
      <c r="AE172" s="75"/>
      <c r="AF172" s="75"/>
      <c r="AG172" s="75"/>
      <c r="AH172" s="75"/>
      <c r="AI172" s="75"/>
      <c r="AJ172" s="81"/>
      <c r="AK172" s="75"/>
      <c r="AL172" s="75"/>
    </row>
    <row r="173" spans="1:38" hidden="1" x14ac:dyDescent="0.25">
      <c r="A173" s="75"/>
      <c r="B173" s="75"/>
      <c r="C173" s="35">
        <f>INDEX(Données!$F$2:$L$54,MATCH(F173,Données!$F$2:$F$54,0),2)</f>
        <v>44018</v>
      </c>
      <c r="D173" s="29" t="str">
        <f t="shared" si="5"/>
        <v>Veuillez inscrire votre nom</v>
      </c>
      <c r="E173" s="7">
        <f>Données!J29</f>
        <v>44021</v>
      </c>
      <c r="F173" s="6" t="str">
        <f>INDEX(Données!$F$2:$L$54,MATCH('Portail d''objectifs'!E173,Données!$G$2:$G$54,1),1)</f>
        <v>28</v>
      </c>
      <c r="G173" s="18" t="b">
        <f t="shared" si="6"/>
        <v>0</v>
      </c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1"/>
      <c r="W173" s="75"/>
      <c r="X173" s="75"/>
      <c r="Y173" s="75"/>
      <c r="Z173" s="96">
        <f>SUM(Tableau1[[#This Row],[A-1]:[G-5]])</f>
        <v>0</v>
      </c>
      <c r="AA173" s="96" t="str">
        <f>IF(AND(Z173&gt;0,Tableau1[[#This Row],[CDS]]=""),"Oui","Non")</f>
        <v>Non</v>
      </c>
      <c r="AB173" s="75"/>
      <c r="AC173" s="75"/>
      <c r="AD173" s="75"/>
      <c r="AE173" s="75"/>
      <c r="AF173" s="75"/>
      <c r="AG173" s="75"/>
      <c r="AH173" s="75"/>
      <c r="AI173" s="75"/>
      <c r="AJ173" s="81"/>
      <c r="AK173" s="75"/>
      <c r="AL173" s="75"/>
    </row>
    <row r="174" spans="1:38" hidden="1" x14ac:dyDescent="0.25">
      <c r="A174" s="75"/>
      <c r="B174" s="75"/>
      <c r="C174" s="35">
        <f>INDEX(Données!$F$2:$L$54,MATCH(F174,Données!$F$2:$F$54,0),2)</f>
        <v>44018</v>
      </c>
      <c r="D174" s="29" t="str">
        <f t="shared" si="5"/>
        <v>Veuillez inscrire votre nom</v>
      </c>
      <c r="E174" s="7">
        <f>Données!K29</f>
        <v>44022</v>
      </c>
      <c r="F174" s="6" t="str">
        <f>INDEX(Données!$F$2:$L$54,MATCH('Portail d''objectifs'!E174,Données!$G$2:$G$54,1),1)</f>
        <v>28</v>
      </c>
      <c r="G174" s="18" t="b">
        <f t="shared" si="6"/>
        <v>0</v>
      </c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1"/>
      <c r="W174" s="75"/>
      <c r="X174" s="75"/>
      <c r="Y174" s="75"/>
      <c r="Z174" s="96">
        <f>SUM(Tableau1[[#This Row],[A-1]:[G-5]])</f>
        <v>0</v>
      </c>
      <c r="AA174" s="96" t="str">
        <f>IF(AND(Z174&gt;0,Tableau1[[#This Row],[CDS]]=""),"Oui","Non")</f>
        <v>Non</v>
      </c>
      <c r="AB174" s="75"/>
      <c r="AC174" s="75"/>
      <c r="AD174" s="75"/>
      <c r="AE174" s="75"/>
      <c r="AF174" s="75"/>
      <c r="AG174" s="75"/>
      <c r="AH174" s="75"/>
      <c r="AI174" s="75"/>
      <c r="AJ174" s="81"/>
      <c r="AK174" s="75"/>
      <c r="AL174" s="75"/>
    </row>
    <row r="175" spans="1:38" hidden="1" x14ac:dyDescent="0.25">
      <c r="A175" s="75"/>
      <c r="B175" s="75"/>
      <c r="C175" s="35">
        <f>INDEX(Données!$F$2:$L$54,MATCH(F175,Données!$F$2:$F$54,0),2)</f>
        <v>44018</v>
      </c>
      <c r="D175" s="29" t="str">
        <f t="shared" si="5"/>
        <v>Veuillez inscrire votre nom</v>
      </c>
      <c r="E175" s="7">
        <f>Données!L29</f>
        <v>44023</v>
      </c>
      <c r="F175" s="6" t="str">
        <f>INDEX(Données!$F$2:$L$54,MATCH('Portail d''objectifs'!E175,Données!$G$2:$G$54,1),1)</f>
        <v>28</v>
      </c>
      <c r="G175" s="18" t="b">
        <f t="shared" si="6"/>
        <v>0</v>
      </c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1"/>
      <c r="W175" s="75"/>
      <c r="X175" s="75"/>
      <c r="Y175" s="75"/>
      <c r="Z175" s="96">
        <f>SUM(Tableau1[[#This Row],[A-1]:[G-5]])</f>
        <v>0</v>
      </c>
      <c r="AA175" s="96" t="str">
        <f>IF(AND(Z175&gt;0,Tableau1[[#This Row],[CDS]]=""),"Oui","Non")</f>
        <v>Non</v>
      </c>
      <c r="AB175" s="75"/>
      <c r="AC175" s="75"/>
      <c r="AD175" s="75"/>
      <c r="AE175" s="75"/>
      <c r="AF175" s="75"/>
      <c r="AG175" s="75"/>
      <c r="AH175" s="75"/>
      <c r="AI175" s="75"/>
      <c r="AJ175" s="81"/>
      <c r="AK175" s="75"/>
      <c r="AL175" s="75"/>
    </row>
    <row r="176" spans="1:38" hidden="1" x14ac:dyDescent="0.25">
      <c r="A176" s="75"/>
      <c r="B176" s="75"/>
      <c r="C176" s="35">
        <f>INDEX(Données!$F$2:$L$54,MATCH(F176,Données!$F$2:$F$54,0),2)</f>
        <v>44025</v>
      </c>
      <c r="D176" s="29" t="str">
        <f t="shared" si="5"/>
        <v>Veuillez inscrire votre nom</v>
      </c>
      <c r="E176" s="7">
        <f>Données!G30</f>
        <v>44025</v>
      </c>
      <c r="F176" s="6" t="str">
        <f>INDEX(Données!$F$2:$L$54,MATCH('Portail d''objectifs'!E176,Données!$G$2:$G$54,1),1)</f>
        <v>29</v>
      </c>
      <c r="G176" s="18" t="b">
        <f t="shared" si="6"/>
        <v>0</v>
      </c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1"/>
      <c r="W176" s="75"/>
      <c r="X176" s="75"/>
      <c r="Y176" s="75"/>
      <c r="Z176" s="96">
        <f>SUM(Tableau1[[#This Row],[A-1]:[G-5]])</f>
        <v>0</v>
      </c>
      <c r="AA176" s="96" t="str">
        <f>IF(AND(Z176&gt;0,Tableau1[[#This Row],[CDS]]=""),"Oui","Non")</f>
        <v>Non</v>
      </c>
      <c r="AB176" s="75"/>
      <c r="AC176" s="75"/>
      <c r="AD176" s="75"/>
      <c r="AE176" s="75"/>
      <c r="AF176" s="75"/>
      <c r="AG176" s="75"/>
      <c r="AH176" s="75"/>
      <c r="AI176" s="75"/>
      <c r="AJ176" s="81"/>
      <c r="AK176" s="75"/>
      <c r="AL176" s="75"/>
    </row>
    <row r="177" spans="1:38" hidden="1" x14ac:dyDescent="0.25">
      <c r="A177" s="75"/>
      <c r="B177" s="75"/>
      <c r="C177" s="35">
        <f>INDEX(Données!$F$2:$L$54,MATCH(F177,Données!$F$2:$F$54,0),2)</f>
        <v>44025</v>
      </c>
      <c r="D177" s="29" t="str">
        <f t="shared" si="5"/>
        <v>Veuillez inscrire votre nom</v>
      </c>
      <c r="E177" s="7">
        <f>Données!H30</f>
        <v>44026</v>
      </c>
      <c r="F177" s="6" t="str">
        <f>INDEX(Données!$F$2:$L$54,MATCH('Portail d''objectifs'!E177,Données!$G$2:$G$54,1),1)</f>
        <v>29</v>
      </c>
      <c r="G177" s="18" t="b">
        <f t="shared" si="6"/>
        <v>0</v>
      </c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1"/>
      <c r="W177" s="75"/>
      <c r="X177" s="75"/>
      <c r="Y177" s="75"/>
      <c r="Z177" s="96">
        <f>SUM(Tableau1[[#This Row],[A-1]:[G-5]])</f>
        <v>0</v>
      </c>
      <c r="AA177" s="96" t="str">
        <f>IF(AND(Z177&gt;0,Tableau1[[#This Row],[CDS]]=""),"Oui","Non")</f>
        <v>Non</v>
      </c>
      <c r="AB177" s="75"/>
      <c r="AC177" s="75"/>
      <c r="AD177" s="75"/>
      <c r="AE177" s="75"/>
      <c r="AF177" s="75"/>
      <c r="AG177" s="75"/>
      <c r="AH177" s="75"/>
      <c r="AI177" s="75"/>
      <c r="AJ177" s="81"/>
      <c r="AK177" s="75"/>
      <c r="AL177" s="75"/>
    </row>
    <row r="178" spans="1:38" hidden="1" x14ac:dyDescent="0.25">
      <c r="A178" s="75"/>
      <c r="B178" s="75"/>
      <c r="C178" s="35">
        <f>INDEX(Données!$F$2:$L$54,MATCH(F178,Données!$F$2:$F$54,0),2)</f>
        <v>44025</v>
      </c>
      <c r="D178" s="29" t="str">
        <f t="shared" si="5"/>
        <v>Veuillez inscrire votre nom</v>
      </c>
      <c r="E178" s="7">
        <f>Données!I30</f>
        <v>44027</v>
      </c>
      <c r="F178" s="6" t="str">
        <f>INDEX(Données!$F$2:$L$54,MATCH('Portail d''objectifs'!E178,Données!$G$2:$G$54,1),1)</f>
        <v>29</v>
      </c>
      <c r="G178" s="18" t="b">
        <f t="shared" si="6"/>
        <v>0</v>
      </c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1"/>
      <c r="W178" s="75"/>
      <c r="X178" s="75"/>
      <c r="Y178" s="75"/>
      <c r="Z178" s="96">
        <f>SUM(Tableau1[[#This Row],[A-1]:[G-5]])</f>
        <v>0</v>
      </c>
      <c r="AA178" s="96" t="str">
        <f>IF(AND(Z178&gt;0,Tableau1[[#This Row],[CDS]]=""),"Oui","Non")</f>
        <v>Non</v>
      </c>
      <c r="AB178" s="75"/>
      <c r="AC178" s="75"/>
      <c r="AD178" s="75"/>
      <c r="AE178" s="75"/>
      <c r="AF178" s="75"/>
      <c r="AG178" s="75"/>
      <c r="AH178" s="75"/>
      <c r="AI178" s="75"/>
      <c r="AJ178" s="81"/>
      <c r="AK178" s="75"/>
      <c r="AL178" s="75"/>
    </row>
    <row r="179" spans="1:38" hidden="1" x14ac:dyDescent="0.25">
      <c r="A179" s="75"/>
      <c r="B179" s="75"/>
      <c r="C179" s="35">
        <f>INDEX(Données!$F$2:$L$54,MATCH(F179,Données!$F$2:$F$54,0),2)</f>
        <v>44025</v>
      </c>
      <c r="D179" s="29" t="str">
        <f t="shared" si="5"/>
        <v>Veuillez inscrire votre nom</v>
      </c>
      <c r="E179" s="7">
        <f>Données!J30</f>
        <v>44028</v>
      </c>
      <c r="F179" s="6" t="str">
        <f>INDEX(Données!$F$2:$L$54,MATCH('Portail d''objectifs'!E179,Données!$G$2:$G$54,1),1)</f>
        <v>29</v>
      </c>
      <c r="G179" s="18" t="b">
        <f t="shared" si="6"/>
        <v>0</v>
      </c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1"/>
      <c r="W179" s="75"/>
      <c r="X179" s="75"/>
      <c r="Y179" s="75"/>
      <c r="Z179" s="96">
        <f>SUM(Tableau1[[#This Row],[A-1]:[G-5]])</f>
        <v>0</v>
      </c>
      <c r="AA179" s="96" t="str">
        <f>IF(AND(Z179&gt;0,Tableau1[[#This Row],[CDS]]=""),"Oui","Non")</f>
        <v>Non</v>
      </c>
      <c r="AB179" s="75"/>
      <c r="AC179" s="75"/>
      <c r="AD179" s="75"/>
      <c r="AE179" s="75"/>
      <c r="AF179" s="75"/>
      <c r="AG179" s="75"/>
      <c r="AH179" s="75"/>
      <c r="AI179" s="75"/>
      <c r="AJ179" s="81"/>
      <c r="AK179" s="75"/>
      <c r="AL179" s="75"/>
    </row>
    <row r="180" spans="1:38" hidden="1" x14ac:dyDescent="0.25">
      <c r="A180" s="75"/>
      <c r="B180" s="75"/>
      <c r="C180" s="35">
        <f>INDEX(Données!$F$2:$L$54,MATCH(F180,Données!$F$2:$F$54,0),2)</f>
        <v>44025</v>
      </c>
      <c r="D180" s="29" t="str">
        <f t="shared" si="5"/>
        <v>Veuillez inscrire votre nom</v>
      </c>
      <c r="E180" s="7">
        <f>Données!K30</f>
        <v>44029</v>
      </c>
      <c r="F180" s="6" t="str">
        <f>INDEX(Données!$F$2:$L$54,MATCH('Portail d''objectifs'!E180,Données!$G$2:$G$54,1),1)</f>
        <v>29</v>
      </c>
      <c r="G180" s="18" t="b">
        <f t="shared" si="6"/>
        <v>0</v>
      </c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1"/>
      <c r="W180" s="75"/>
      <c r="X180" s="75"/>
      <c r="Y180" s="75"/>
      <c r="Z180" s="96">
        <f>SUM(Tableau1[[#This Row],[A-1]:[G-5]])</f>
        <v>0</v>
      </c>
      <c r="AA180" s="96" t="str">
        <f>IF(AND(Z180&gt;0,Tableau1[[#This Row],[CDS]]=""),"Oui","Non")</f>
        <v>Non</v>
      </c>
      <c r="AB180" s="75"/>
      <c r="AC180" s="75"/>
      <c r="AD180" s="75"/>
      <c r="AE180" s="75"/>
      <c r="AF180" s="75"/>
      <c r="AG180" s="75"/>
      <c r="AH180" s="75"/>
      <c r="AI180" s="75"/>
      <c r="AJ180" s="81"/>
      <c r="AK180" s="75"/>
      <c r="AL180" s="75"/>
    </row>
    <row r="181" spans="1:38" hidden="1" x14ac:dyDescent="0.25">
      <c r="A181" s="75"/>
      <c r="B181" s="75"/>
      <c r="C181" s="35">
        <f>INDEX(Données!$F$2:$L$54,MATCH(F181,Données!$F$2:$F$54,0),2)</f>
        <v>44025</v>
      </c>
      <c r="D181" s="29" t="str">
        <f t="shared" si="5"/>
        <v>Veuillez inscrire votre nom</v>
      </c>
      <c r="E181" s="7">
        <f>Données!L30</f>
        <v>44030</v>
      </c>
      <c r="F181" s="6" t="str">
        <f>INDEX(Données!$F$2:$L$54,MATCH('Portail d''objectifs'!E181,Données!$G$2:$G$54,1),1)</f>
        <v>29</v>
      </c>
      <c r="G181" s="18" t="b">
        <f t="shared" si="6"/>
        <v>0</v>
      </c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1"/>
      <c r="W181" s="75"/>
      <c r="X181" s="75"/>
      <c r="Y181" s="75"/>
      <c r="Z181" s="96">
        <f>SUM(Tableau1[[#This Row],[A-1]:[G-5]])</f>
        <v>0</v>
      </c>
      <c r="AA181" s="96" t="str">
        <f>IF(AND(Z181&gt;0,Tableau1[[#This Row],[CDS]]=""),"Oui","Non")</f>
        <v>Non</v>
      </c>
      <c r="AB181" s="75"/>
      <c r="AC181" s="75"/>
      <c r="AD181" s="75"/>
      <c r="AE181" s="75"/>
      <c r="AF181" s="75"/>
      <c r="AG181" s="75"/>
      <c r="AH181" s="75"/>
      <c r="AI181" s="75"/>
      <c r="AJ181" s="81"/>
      <c r="AK181" s="75"/>
      <c r="AL181" s="75"/>
    </row>
    <row r="182" spans="1:38" hidden="1" x14ac:dyDescent="0.25">
      <c r="A182" s="75"/>
      <c r="B182" s="75"/>
      <c r="C182" s="35">
        <f>INDEX(Données!$F$2:$L$54,MATCH(F182,Données!$F$2:$F$54,0),2)</f>
        <v>44032</v>
      </c>
      <c r="D182" s="29" t="str">
        <f t="shared" si="5"/>
        <v>Veuillez inscrire votre nom</v>
      </c>
      <c r="E182" s="7">
        <f>Données!G31</f>
        <v>44032</v>
      </c>
      <c r="F182" s="6" t="str">
        <f>INDEX(Données!$F$2:$L$54,MATCH('Portail d''objectifs'!E182,Données!$G$2:$G$54,1),1)</f>
        <v>30</v>
      </c>
      <c r="G182" s="18" t="b">
        <f t="shared" si="6"/>
        <v>0</v>
      </c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1"/>
      <c r="W182" s="75"/>
      <c r="X182" s="75"/>
      <c r="Y182" s="75"/>
      <c r="Z182" s="96">
        <f>SUM(Tableau1[[#This Row],[A-1]:[G-5]])</f>
        <v>0</v>
      </c>
      <c r="AA182" s="96" t="str">
        <f>IF(AND(Z182&gt;0,Tableau1[[#This Row],[CDS]]=""),"Oui","Non")</f>
        <v>Non</v>
      </c>
      <c r="AB182" s="75"/>
      <c r="AC182" s="75"/>
      <c r="AD182" s="75"/>
      <c r="AE182" s="75"/>
      <c r="AF182" s="75"/>
      <c r="AG182" s="75"/>
      <c r="AH182" s="75"/>
      <c r="AI182" s="75"/>
      <c r="AJ182" s="81"/>
      <c r="AK182" s="75"/>
      <c r="AL182" s="75"/>
    </row>
    <row r="183" spans="1:38" hidden="1" x14ac:dyDescent="0.25">
      <c r="A183" s="75"/>
      <c r="B183" s="75"/>
      <c r="C183" s="35">
        <f>INDEX(Données!$F$2:$L$54,MATCH(F183,Données!$F$2:$F$54,0),2)</f>
        <v>44032</v>
      </c>
      <c r="D183" s="29" t="str">
        <f t="shared" si="5"/>
        <v>Veuillez inscrire votre nom</v>
      </c>
      <c r="E183" s="7">
        <f>Données!H31</f>
        <v>44033</v>
      </c>
      <c r="F183" s="6" t="str">
        <f>INDEX(Données!$F$2:$L$54,MATCH('Portail d''objectifs'!E183,Données!$G$2:$G$54,1),1)</f>
        <v>30</v>
      </c>
      <c r="G183" s="18" t="b">
        <f t="shared" si="6"/>
        <v>0</v>
      </c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1"/>
      <c r="W183" s="75"/>
      <c r="X183" s="75"/>
      <c r="Y183" s="75"/>
      <c r="Z183" s="96">
        <f>SUM(Tableau1[[#This Row],[A-1]:[G-5]])</f>
        <v>0</v>
      </c>
      <c r="AA183" s="96" t="str">
        <f>IF(AND(Z183&gt;0,Tableau1[[#This Row],[CDS]]=""),"Oui","Non")</f>
        <v>Non</v>
      </c>
      <c r="AB183" s="75"/>
      <c r="AC183" s="75"/>
      <c r="AD183" s="75"/>
      <c r="AE183" s="75"/>
      <c r="AF183" s="75"/>
      <c r="AG183" s="75"/>
      <c r="AH183" s="75"/>
      <c r="AI183" s="75"/>
      <c r="AJ183" s="81"/>
      <c r="AK183" s="75"/>
      <c r="AL183" s="75"/>
    </row>
    <row r="184" spans="1:38" hidden="1" x14ac:dyDescent="0.25">
      <c r="A184" s="75"/>
      <c r="B184" s="75"/>
      <c r="C184" s="35">
        <f>INDEX(Données!$F$2:$L$54,MATCH(F184,Données!$F$2:$F$54,0),2)</f>
        <v>44032</v>
      </c>
      <c r="D184" s="29" t="str">
        <f t="shared" si="5"/>
        <v>Veuillez inscrire votre nom</v>
      </c>
      <c r="E184" s="7">
        <f>Données!I31</f>
        <v>44034</v>
      </c>
      <c r="F184" s="6" t="str">
        <f>INDEX(Données!$F$2:$L$54,MATCH('Portail d''objectifs'!E184,Données!$G$2:$G$54,1),1)</f>
        <v>30</v>
      </c>
      <c r="G184" s="18" t="b">
        <f t="shared" si="6"/>
        <v>0</v>
      </c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1"/>
      <c r="W184" s="75"/>
      <c r="X184" s="75"/>
      <c r="Y184" s="75"/>
      <c r="Z184" s="96">
        <f>SUM(Tableau1[[#This Row],[A-1]:[G-5]])</f>
        <v>0</v>
      </c>
      <c r="AA184" s="96" t="str">
        <f>IF(AND(Z184&gt;0,Tableau1[[#This Row],[CDS]]=""),"Oui","Non")</f>
        <v>Non</v>
      </c>
      <c r="AB184" s="75"/>
      <c r="AC184" s="75"/>
      <c r="AD184" s="75"/>
      <c r="AE184" s="75"/>
      <c r="AF184" s="75"/>
      <c r="AG184" s="75"/>
      <c r="AH184" s="75"/>
      <c r="AI184" s="75"/>
      <c r="AJ184" s="81"/>
      <c r="AK184" s="75"/>
      <c r="AL184" s="75"/>
    </row>
    <row r="185" spans="1:38" hidden="1" x14ac:dyDescent="0.25">
      <c r="A185" s="75"/>
      <c r="B185" s="75"/>
      <c r="C185" s="35">
        <f>INDEX(Données!$F$2:$L$54,MATCH(F185,Données!$F$2:$F$54,0),2)</f>
        <v>44032</v>
      </c>
      <c r="D185" s="29" t="str">
        <f t="shared" si="5"/>
        <v>Veuillez inscrire votre nom</v>
      </c>
      <c r="E185" s="7">
        <f>Données!J31</f>
        <v>44035</v>
      </c>
      <c r="F185" s="6" t="str">
        <f>INDEX(Données!$F$2:$L$54,MATCH('Portail d''objectifs'!E185,Données!$G$2:$G$54,1),1)</f>
        <v>30</v>
      </c>
      <c r="G185" s="18" t="b">
        <f t="shared" si="6"/>
        <v>0</v>
      </c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1"/>
      <c r="W185" s="75"/>
      <c r="X185" s="75"/>
      <c r="Y185" s="75"/>
      <c r="Z185" s="96">
        <f>SUM(Tableau1[[#This Row],[A-1]:[G-5]])</f>
        <v>0</v>
      </c>
      <c r="AA185" s="96" t="str">
        <f>IF(AND(Z185&gt;0,Tableau1[[#This Row],[CDS]]=""),"Oui","Non")</f>
        <v>Non</v>
      </c>
      <c r="AB185" s="75"/>
      <c r="AC185" s="75"/>
      <c r="AD185" s="75"/>
      <c r="AE185" s="75"/>
      <c r="AF185" s="75"/>
      <c r="AG185" s="75"/>
      <c r="AH185" s="75"/>
      <c r="AI185" s="75"/>
      <c r="AJ185" s="81"/>
      <c r="AK185" s="75"/>
      <c r="AL185" s="75"/>
    </row>
    <row r="186" spans="1:38" hidden="1" x14ac:dyDescent="0.25">
      <c r="A186" s="75"/>
      <c r="B186" s="75"/>
      <c r="C186" s="35">
        <f>INDEX(Données!$F$2:$L$54,MATCH(F186,Données!$F$2:$F$54,0),2)</f>
        <v>44032</v>
      </c>
      <c r="D186" s="29" t="str">
        <f t="shared" si="5"/>
        <v>Veuillez inscrire votre nom</v>
      </c>
      <c r="E186" s="7">
        <f>Données!K31</f>
        <v>44036</v>
      </c>
      <c r="F186" s="6" t="str">
        <f>INDEX(Données!$F$2:$L$54,MATCH('Portail d''objectifs'!E186,Données!$G$2:$G$54,1),1)</f>
        <v>30</v>
      </c>
      <c r="G186" s="18" t="b">
        <f t="shared" si="6"/>
        <v>0</v>
      </c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1"/>
      <c r="W186" s="75"/>
      <c r="X186" s="75"/>
      <c r="Y186" s="75"/>
      <c r="Z186" s="96">
        <f>SUM(Tableau1[[#This Row],[A-1]:[G-5]])</f>
        <v>0</v>
      </c>
      <c r="AA186" s="96" t="str">
        <f>IF(AND(Z186&gt;0,Tableau1[[#This Row],[CDS]]=""),"Oui","Non")</f>
        <v>Non</v>
      </c>
      <c r="AB186" s="75"/>
      <c r="AC186" s="75"/>
      <c r="AD186" s="75"/>
      <c r="AE186" s="75"/>
      <c r="AF186" s="75"/>
      <c r="AG186" s="75"/>
      <c r="AH186" s="75"/>
      <c r="AI186" s="75"/>
      <c r="AJ186" s="81"/>
      <c r="AK186" s="75"/>
      <c r="AL186" s="75"/>
    </row>
    <row r="187" spans="1:38" hidden="1" x14ac:dyDescent="0.25">
      <c r="A187" s="75"/>
      <c r="B187" s="75"/>
      <c r="C187" s="35">
        <f>INDEX(Données!$F$2:$L$54,MATCH(F187,Données!$F$2:$F$54,0),2)</f>
        <v>44032</v>
      </c>
      <c r="D187" s="29" t="str">
        <f t="shared" si="5"/>
        <v>Veuillez inscrire votre nom</v>
      </c>
      <c r="E187" s="7">
        <f>Données!L31</f>
        <v>44037</v>
      </c>
      <c r="F187" s="6" t="str">
        <f>INDEX(Données!$F$2:$L$54,MATCH('Portail d''objectifs'!E187,Données!$G$2:$G$54,1),1)</f>
        <v>30</v>
      </c>
      <c r="G187" s="18" t="b">
        <f t="shared" si="6"/>
        <v>0</v>
      </c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1"/>
      <c r="W187" s="75"/>
      <c r="X187" s="75"/>
      <c r="Y187" s="75"/>
      <c r="Z187" s="96">
        <f>SUM(Tableau1[[#This Row],[A-1]:[G-5]])</f>
        <v>0</v>
      </c>
      <c r="AA187" s="96" t="str">
        <f>IF(AND(Z187&gt;0,Tableau1[[#This Row],[CDS]]=""),"Oui","Non")</f>
        <v>Non</v>
      </c>
      <c r="AB187" s="75"/>
      <c r="AC187" s="75"/>
      <c r="AD187" s="75"/>
      <c r="AE187" s="75"/>
      <c r="AF187" s="75"/>
      <c r="AG187" s="75"/>
      <c r="AH187" s="75"/>
      <c r="AI187" s="75"/>
      <c r="AJ187" s="81"/>
      <c r="AK187" s="75"/>
      <c r="AL187" s="75"/>
    </row>
    <row r="188" spans="1:38" hidden="1" x14ac:dyDescent="0.25">
      <c r="A188" s="75"/>
      <c r="B188" s="75"/>
      <c r="C188" s="35">
        <f>INDEX(Données!$F$2:$L$54,MATCH(F188,Données!$F$2:$F$54,0),2)</f>
        <v>44039</v>
      </c>
      <c r="D188" s="29" t="str">
        <f t="shared" si="5"/>
        <v>Veuillez inscrire votre nom</v>
      </c>
      <c r="E188" s="7">
        <f>Données!G32</f>
        <v>44039</v>
      </c>
      <c r="F188" s="6" t="str">
        <f>INDEX(Données!$F$2:$L$54,MATCH('Portail d''objectifs'!E188,Données!$G$2:$G$54,1),1)</f>
        <v>31</v>
      </c>
      <c r="G188" s="18" t="b">
        <f t="shared" si="6"/>
        <v>0</v>
      </c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1"/>
      <c r="W188" s="75"/>
      <c r="X188" s="75"/>
      <c r="Y188" s="75"/>
      <c r="Z188" s="96">
        <f>SUM(Tableau1[[#This Row],[A-1]:[G-5]])</f>
        <v>0</v>
      </c>
      <c r="AA188" s="96" t="str">
        <f>IF(AND(Z188&gt;0,Tableau1[[#This Row],[CDS]]=""),"Oui","Non")</f>
        <v>Non</v>
      </c>
      <c r="AB188" s="75"/>
      <c r="AC188" s="75"/>
      <c r="AD188" s="75"/>
      <c r="AE188" s="75"/>
      <c r="AF188" s="75"/>
      <c r="AG188" s="75"/>
      <c r="AH188" s="75"/>
      <c r="AI188" s="75"/>
      <c r="AJ188" s="81"/>
      <c r="AK188" s="75"/>
      <c r="AL188" s="75"/>
    </row>
    <row r="189" spans="1:38" hidden="1" x14ac:dyDescent="0.25">
      <c r="A189" s="75"/>
      <c r="B189" s="75"/>
      <c r="C189" s="35">
        <f>INDEX(Données!$F$2:$L$54,MATCH(F189,Données!$F$2:$F$54,0),2)</f>
        <v>44039</v>
      </c>
      <c r="D189" s="29" t="str">
        <f t="shared" si="5"/>
        <v>Veuillez inscrire votre nom</v>
      </c>
      <c r="E189" s="7">
        <f>Données!H32</f>
        <v>44040</v>
      </c>
      <c r="F189" s="6" t="str">
        <f>INDEX(Données!$F$2:$L$54,MATCH('Portail d''objectifs'!E189,Données!$G$2:$G$54,1),1)</f>
        <v>31</v>
      </c>
      <c r="G189" s="18" t="b">
        <f t="shared" si="6"/>
        <v>0</v>
      </c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1"/>
      <c r="W189" s="75"/>
      <c r="X189" s="75"/>
      <c r="Y189" s="75"/>
      <c r="Z189" s="96">
        <f>SUM(Tableau1[[#This Row],[A-1]:[G-5]])</f>
        <v>0</v>
      </c>
      <c r="AA189" s="96" t="str">
        <f>IF(AND(Z189&gt;0,Tableau1[[#This Row],[CDS]]=""),"Oui","Non")</f>
        <v>Non</v>
      </c>
      <c r="AB189" s="75"/>
      <c r="AC189" s="75"/>
      <c r="AD189" s="75"/>
      <c r="AE189" s="75"/>
      <c r="AF189" s="75"/>
      <c r="AG189" s="75"/>
      <c r="AH189" s="75"/>
      <c r="AI189" s="75"/>
      <c r="AJ189" s="81"/>
      <c r="AK189" s="75"/>
      <c r="AL189" s="75"/>
    </row>
    <row r="190" spans="1:38" hidden="1" x14ac:dyDescent="0.25">
      <c r="A190" s="75"/>
      <c r="B190" s="75"/>
      <c r="C190" s="35">
        <f>INDEX(Données!$F$2:$L$54,MATCH(F190,Données!$F$2:$F$54,0),2)</f>
        <v>44039</v>
      </c>
      <c r="D190" s="29" t="str">
        <f t="shared" si="5"/>
        <v>Veuillez inscrire votre nom</v>
      </c>
      <c r="E190" s="7">
        <f>Données!I32</f>
        <v>44041</v>
      </c>
      <c r="F190" s="6" t="str">
        <f>INDEX(Données!$F$2:$L$54,MATCH('Portail d''objectifs'!E190,Données!$G$2:$G$54,1),1)</f>
        <v>31</v>
      </c>
      <c r="G190" s="18" t="b">
        <f t="shared" si="6"/>
        <v>0</v>
      </c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1"/>
      <c r="W190" s="75"/>
      <c r="X190" s="75"/>
      <c r="Y190" s="75"/>
      <c r="Z190" s="96">
        <f>SUM(Tableau1[[#This Row],[A-1]:[G-5]])</f>
        <v>0</v>
      </c>
      <c r="AA190" s="96" t="str">
        <f>IF(AND(Z190&gt;0,Tableau1[[#This Row],[CDS]]=""),"Oui","Non")</f>
        <v>Non</v>
      </c>
      <c r="AB190" s="75"/>
      <c r="AC190" s="75"/>
      <c r="AD190" s="75"/>
      <c r="AE190" s="75"/>
      <c r="AF190" s="75"/>
      <c r="AG190" s="75"/>
      <c r="AH190" s="75"/>
      <c r="AI190" s="75"/>
      <c r="AJ190" s="81"/>
      <c r="AK190" s="75"/>
      <c r="AL190" s="75"/>
    </row>
    <row r="191" spans="1:38" hidden="1" x14ac:dyDescent="0.25">
      <c r="A191" s="75"/>
      <c r="B191" s="75"/>
      <c r="C191" s="35">
        <f>INDEX(Données!$F$2:$L$54,MATCH(F191,Données!$F$2:$F$54,0),2)</f>
        <v>44039</v>
      </c>
      <c r="D191" s="29" t="str">
        <f t="shared" si="5"/>
        <v>Veuillez inscrire votre nom</v>
      </c>
      <c r="E191" s="7">
        <f>Données!J32</f>
        <v>44042</v>
      </c>
      <c r="F191" s="6" t="str">
        <f>INDEX(Données!$F$2:$L$54,MATCH('Portail d''objectifs'!E191,Données!$G$2:$G$54,1),1)</f>
        <v>31</v>
      </c>
      <c r="G191" s="18" t="b">
        <f t="shared" si="6"/>
        <v>0</v>
      </c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1"/>
      <c r="W191" s="75"/>
      <c r="X191" s="75"/>
      <c r="Y191" s="75"/>
      <c r="Z191" s="96">
        <f>SUM(Tableau1[[#This Row],[A-1]:[G-5]])</f>
        <v>0</v>
      </c>
      <c r="AA191" s="96" t="str">
        <f>IF(AND(Z191&gt;0,Tableau1[[#This Row],[CDS]]=""),"Oui","Non")</f>
        <v>Non</v>
      </c>
      <c r="AB191" s="75"/>
      <c r="AC191" s="75"/>
      <c r="AD191" s="75"/>
      <c r="AE191" s="75"/>
      <c r="AF191" s="75"/>
      <c r="AG191" s="75"/>
      <c r="AH191" s="75"/>
      <c r="AI191" s="75"/>
      <c r="AJ191" s="81"/>
      <c r="AK191" s="75"/>
      <c r="AL191" s="75"/>
    </row>
    <row r="192" spans="1:38" hidden="1" x14ac:dyDescent="0.25">
      <c r="A192" s="75"/>
      <c r="B192" s="75"/>
      <c r="C192" s="35">
        <f>INDEX(Données!$F$2:$L$54,MATCH(F192,Données!$F$2:$F$54,0),2)</f>
        <v>44039</v>
      </c>
      <c r="D192" s="29" t="str">
        <f t="shared" si="5"/>
        <v>Veuillez inscrire votre nom</v>
      </c>
      <c r="E192" s="7">
        <f>Données!K32</f>
        <v>44043</v>
      </c>
      <c r="F192" s="6" t="str">
        <f>INDEX(Données!$F$2:$L$54,MATCH('Portail d''objectifs'!E192,Données!$G$2:$G$54,1),1)</f>
        <v>31</v>
      </c>
      <c r="G192" s="18" t="b">
        <f t="shared" si="6"/>
        <v>0</v>
      </c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1"/>
      <c r="W192" s="75"/>
      <c r="X192" s="75"/>
      <c r="Y192" s="75"/>
      <c r="Z192" s="96">
        <f>SUM(Tableau1[[#This Row],[A-1]:[G-5]])</f>
        <v>0</v>
      </c>
      <c r="AA192" s="96" t="str">
        <f>IF(AND(Z192&gt;0,Tableau1[[#This Row],[CDS]]=""),"Oui","Non")</f>
        <v>Non</v>
      </c>
      <c r="AB192" s="75"/>
      <c r="AC192" s="75"/>
      <c r="AD192" s="75"/>
      <c r="AE192" s="75"/>
      <c r="AF192" s="75"/>
      <c r="AG192" s="75"/>
      <c r="AH192" s="75"/>
      <c r="AI192" s="75"/>
      <c r="AJ192" s="81"/>
      <c r="AK192" s="75"/>
      <c r="AL192" s="75"/>
    </row>
    <row r="193" spans="1:38" hidden="1" x14ac:dyDescent="0.25">
      <c r="A193" s="75"/>
      <c r="B193" s="75"/>
      <c r="C193" s="35">
        <f>INDEX(Données!$F$2:$L$54,MATCH(F193,Données!$F$2:$F$54,0),2)</f>
        <v>44039</v>
      </c>
      <c r="D193" s="29" t="str">
        <f t="shared" si="5"/>
        <v>Veuillez inscrire votre nom</v>
      </c>
      <c r="E193" s="7">
        <f>Données!L32</f>
        <v>44044</v>
      </c>
      <c r="F193" s="6" t="str">
        <f>INDEX(Données!$F$2:$L$54,MATCH('Portail d''objectifs'!E193,Données!$G$2:$G$54,1),1)</f>
        <v>31</v>
      </c>
      <c r="G193" s="18" t="b">
        <f t="shared" si="6"/>
        <v>0</v>
      </c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1"/>
      <c r="W193" s="75"/>
      <c r="X193" s="75"/>
      <c r="Y193" s="75"/>
      <c r="Z193" s="96">
        <f>SUM(Tableau1[[#This Row],[A-1]:[G-5]])</f>
        <v>0</v>
      </c>
      <c r="AA193" s="96" t="str">
        <f>IF(AND(Z193&gt;0,Tableau1[[#This Row],[CDS]]=""),"Oui","Non")</f>
        <v>Non</v>
      </c>
      <c r="AB193" s="75"/>
      <c r="AC193" s="75"/>
      <c r="AD193" s="75"/>
      <c r="AE193" s="75"/>
      <c r="AF193" s="75"/>
      <c r="AG193" s="75"/>
      <c r="AH193" s="75"/>
      <c r="AI193" s="75"/>
      <c r="AJ193" s="81"/>
      <c r="AK193" s="75"/>
      <c r="AL193" s="75"/>
    </row>
    <row r="194" spans="1:38" hidden="1" x14ac:dyDescent="0.25">
      <c r="A194" s="75"/>
      <c r="B194" s="75"/>
      <c r="C194" s="35">
        <f>INDEX(Données!$F$2:$L$54,MATCH(F194,Données!$F$2:$F$54,0),2)</f>
        <v>44046</v>
      </c>
      <c r="D194" s="29" t="str">
        <f t="shared" si="5"/>
        <v>Veuillez inscrire votre nom</v>
      </c>
      <c r="E194" s="7">
        <f>Données!G33</f>
        <v>44046</v>
      </c>
      <c r="F194" s="6" t="str">
        <f>INDEX(Données!$F$2:$L$54,MATCH('Portail d''objectifs'!E194,Données!$G$2:$G$54,1),1)</f>
        <v>32</v>
      </c>
      <c r="G194" s="18" t="b">
        <f t="shared" si="6"/>
        <v>0</v>
      </c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1"/>
      <c r="W194" s="75"/>
      <c r="X194" s="75"/>
      <c r="Y194" s="75"/>
      <c r="Z194" s="96">
        <f>SUM(Tableau1[[#This Row],[A-1]:[G-5]])</f>
        <v>0</v>
      </c>
      <c r="AA194" s="96" t="str">
        <f>IF(AND(Z194&gt;0,Tableau1[[#This Row],[CDS]]=""),"Oui","Non")</f>
        <v>Non</v>
      </c>
      <c r="AB194" s="75"/>
      <c r="AC194" s="75"/>
      <c r="AD194" s="75"/>
      <c r="AE194" s="75"/>
      <c r="AF194" s="75"/>
      <c r="AG194" s="75"/>
      <c r="AH194" s="75"/>
      <c r="AI194" s="75"/>
      <c r="AJ194" s="81"/>
      <c r="AK194" s="75"/>
      <c r="AL194" s="75"/>
    </row>
    <row r="195" spans="1:38" hidden="1" x14ac:dyDescent="0.25">
      <c r="A195" s="75"/>
      <c r="B195" s="75"/>
      <c r="C195" s="35">
        <f>INDEX(Données!$F$2:$L$54,MATCH(F195,Données!$F$2:$F$54,0),2)</f>
        <v>44046</v>
      </c>
      <c r="D195" s="29" t="str">
        <f t="shared" si="5"/>
        <v>Veuillez inscrire votre nom</v>
      </c>
      <c r="E195" s="7">
        <f>Données!H33</f>
        <v>44047</v>
      </c>
      <c r="F195" s="6" t="str">
        <f>INDEX(Données!$F$2:$L$54,MATCH('Portail d''objectifs'!E195,Données!$G$2:$G$54,1),1)</f>
        <v>32</v>
      </c>
      <c r="G195" s="18" t="b">
        <f t="shared" si="6"/>
        <v>0</v>
      </c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1"/>
      <c r="W195" s="75"/>
      <c r="X195" s="75"/>
      <c r="Y195" s="75"/>
      <c r="Z195" s="96">
        <f>SUM(Tableau1[[#This Row],[A-1]:[G-5]])</f>
        <v>0</v>
      </c>
      <c r="AA195" s="96" t="str">
        <f>IF(AND(Z195&gt;0,Tableau1[[#This Row],[CDS]]=""),"Oui","Non")</f>
        <v>Non</v>
      </c>
      <c r="AB195" s="75"/>
      <c r="AC195" s="75"/>
      <c r="AD195" s="75"/>
      <c r="AE195" s="75"/>
      <c r="AF195" s="75"/>
      <c r="AG195" s="75"/>
      <c r="AH195" s="75"/>
      <c r="AI195" s="75"/>
      <c r="AJ195" s="81"/>
      <c r="AK195" s="75"/>
      <c r="AL195" s="75"/>
    </row>
    <row r="196" spans="1:38" hidden="1" x14ac:dyDescent="0.25">
      <c r="A196" s="75"/>
      <c r="B196" s="75"/>
      <c r="C196" s="35">
        <f>INDEX(Données!$F$2:$L$54,MATCH(F196,Données!$F$2:$F$54,0),2)</f>
        <v>44046</v>
      </c>
      <c r="D196" s="29" t="str">
        <f t="shared" si="5"/>
        <v>Veuillez inscrire votre nom</v>
      </c>
      <c r="E196" s="7">
        <f>Données!I33</f>
        <v>44048</v>
      </c>
      <c r="F196" s="6" t="str">
        <f>INDEX(Données!$F$2:$L$54,MATCH('Portail d''objectifs'!E196,Données!$G$2:$G$54,1),1)</f>
        <v>32</v>
      </c>
      <c r="G196" s="18" t="b">
        <f t="shared" si="6"/>
        <v>0</v>
      </c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1"/>
      <c r="W196" s="75"/>
      <c r="X196" s="75"/>
      <c r="Y196" s="75"/>
      <c r="Z196" s="96">
        <f>SUM(Tableau1[[#This Row],[A-1]:[G-5]])</f>
        <v>0</v>
      </c>
      <c r="AA196" s="96" t="str">
        <f>IF(AND(Z196&gt;0,Tableau1[[#This Row],[CDS]]=""),"Oui","Non")</f>
        <v>Non</v>
      </c>
      <c r="AB196" s="75"/>
      <c r="AC196" s="75"/>
      <c r="AD196" s="75"/>
      <c r="AE196" s="75"/>
      <c r="AF196" s="75"/>
      <c r="AG196" s="75"/>
      <c r="AH196" s="75"/>
      <c r="AI196" s="75"/>
      <c r="AJ196" s="81"/>
      <c r="AK196" s="75"/>
      <c r="AL196" s="75"/>
    </row>
    <row r="197" spans="1:38" hidden="1" x14ac:dyDescent="0.25">
      <c r="A197" s="75"/>
      <c r="B197" s="75"/>
      <c r="C197" s="35">
        <f>INDEX(Données!$F$2:$L$54,MATCH(F197,Données!$F$2:$F$54,0),2)</f>
        <v>44046</v>
      </c>
      <c r="D197" s="29" t="str">
        <f t="shared" si="5"/>
        <v>Veuillez inscrire votre nom</v>
      </c>
      <c r="E197" s="7">
        <f>Données!J33</f>
        <v>44049</v>
      </c>
      <c r="F197" s="6" t="str">
        <f>INDEX(Données!$F$2:$L$54,MATCH('Portail d''objectifs'!E197,Données!$G$2:$G$54,1),1)</f>
        <v>32</v>
      </c>
      <c r="G197" s="18" t="b">
        <f t="shared" si="6"/>
        <v>0</v>
      </c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1"/>
      <c r="W197" s="75"/>
      <c r="X197" s="75"/>
      <c r="Y197" s="75"/>
      <c r="Z197" s="96">
        <f>SUM(Tableau1[[#This Row],[A-1]:[G-5]])</f>
        <v>0</v>
      </c>
      <c r="AA197" s="96" t="str">
        <f>IF(AND(Z197&gt;0,Tableau1[[#This Row],[CDS]]=""),"Oui","Non")</f>
        <v>Non</v>
      </c>
      <c r="AB197" s="75"/>
      <c r="AC197" s="75"/>
      <c r="AD197" s="75"/>
      <c r="AE197" s="75"/>
      <c r="AF197" s="75"/>
      <c r="AG197" s="75"/>
      <c r="AH197" s="75"/>
      <c r="AI197" s="75"/>
      <c r="AJ197" s="81"/>
      <c r="AK197" s="75"/>
      <c r="AL197" s="75"/>
    </row>
    <row r="198" spans="1:38" hidden="1" x14ac:dyDescent="0.25">
      <c r="A198" s="75"/>
      <c r="B198" s="75"/>
      <c r="C198" s="35">
        <f>INDEX(Données!$F$2:$L$54,MATCH(F198,Données!$F$2:$F$54,0),2)</f>
        <v>44046</v>
      </c>
      <c r="D198" s="29" t="str">
        <f t="shared" si="5"/>
        <v>Veuillez inscrire votre nom</v>
      </c>
      <c r="E198" s="7">
        <f>Données!K33</f>
        <v>44050</v>
      </c>
      <c r="F198" s="6" t="str">
        <f>INDEX(Données!$F$2:$L$54,MATCH('Portail d''objectifs'!E198,Données!$G$2:$G$54,1),1)</f>
        <v>32</v>
      </c>
      <c r="G198" s="18" t="b">
        <f t="shared" si="6"/>
        <v>0</v>
      </c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1"/>
      <c r="W198" s="75"/>
      <c r="X198" s="75"/>
      <c r="Y198" s="75"/>
      <c r="Z198" s="96">
        <f>SUM(Tableau1[[#This Row],[A-1]:[G-5]])</f>
        <v>0</v>
      </c>
      <c r="AA198" s="96" t="str">
        <f>IF(AND(Z198&gt;0,Tableau1[[#This Row],[CDS]]=""),"Oui","Non")</f>
        <v>Non</v>
      </c>
      <c r="AB198" s="75"/>
      <c r="AC198" s="75"/>
      <c r="AD198" s="75"/>
      <c r="AE198" s="75"/>
      <c r="AF198" s="75"/>
      <c r="AG198" s="75"/>
      <c r="AH198" s="75"/>
      <c r="AI198" s="75"/>
      <c r="AJ198" s="81"/>
      <c r="AK198" s="75"/>
      <c r="AL198" s="75"/>
    </row>
    <row r="199" spans="1:38" hidden="1" x14ac:dyDescent="0.25">
      <c r="A199" s="75"/>
      <c r="B199" s="75"/>
      <c r="C199" s="35">
        <f>INDEX(Données!$F$2:$L$54,MATCH(F199,Données!$F$2:$F$54,0),2)</f>
        <v>44046</v>
      </c>
      <c r="D199" s="29" t="str">
        <f t="shared" si="5"/>
        <v>Veuillez inscrire votre nom</v>
      </c>
      <c r="E199" s="7">
        <f>Données!L33</f>
        <v>44051</v>
      </c>
      <c r="F199" s="6" t="str">
        <f>INDEX(Données!$F$2:$L$54,MATCH('Portail d''objectifs'!E199,Données!$G$2:$G$54,1),1)</f>
        <v>32</v>
      </c>
      <c r="G199" s="18" t="b">
        <f t="shared" si="6"/>
        <v>0</v>
      </c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1"/>
      <c r="W199" s="75"/>
      <c r="X199" s="75"/>
      <c r="Y199" s="75"/>
      <c r="Z199" s="96">
        <f>SUM(Tableau1[[#This Row],[A-1]:[G-5]])</f>
        <v>0</v>
      </c>
      <c r="AA199" s="96" t="str">
        <f>IF(AND(Z199&gt;0,Tableau1[[#This Row],[CDS]]=""),"Oui","Non")</f>
        <v>Non</v>
      </c>
      <c r="AB199" s="75"/>
      <c r="AC199" s="75"/>
      <c r="AD199" s="75"/>
      <c r="AE199" s="75"/>
      <c r="AF199" s="75"/>
      <c r="AG199" s="75"/>
      <c r="AH199" s="75"/>
      <c r="AI199" s="75"/>
      <c r="AJ199" s="81"/>
      <c r="AK199" s="75"/>
      <c r="AL199" s="75"/>
    </row>
    <row r="200" spans="1:38" hidden="1" x14ac:dyDescent="0.25">
      <c r="A200" s="75"/>
      <c r="B200" s="75"/>
      <c r="C200" s="35">
        <f>INDEX(Données!$F$2:$L$54,MATCH(F200,Données!$F$2:$F$54,0),2)</f>
        <v>44053</v>
      </c>
      <c r="D200" s="29" t="str">
        <f t="shared" ref="D200:D263" si="7">$E$4</f>
        <v>Veuillez inscrire votre nom</v>
      </c>
      <c r="E200" s="7">
        <f>Données!G34</f>
        <v>44053</v>
      </c>
      <c r="F200" s="6" t="str">
        <f>INDEX(Données!$F$2:$L$54,MATCH('Portail d''objectifs'!E200,Données!$G$2:$G$54,1),1)</f>
        <v>33</v>
      </c>
      <c r="G200" s="18" t="b">
        <f t="shared" ref="G200:G263" si="8">IF(AND($V$5=1),"PS-1",IF(AND($V$5=2),"PS-2",IF(AND($V$5=4),"PS-4",IF(AND($V$5=6),"S.O.",IF(AND($V$5=5),"")))))</f>
        <v>0</v>
      </c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1"/>
      <c r="W200" s="75"/>
      <c r="X200" s="75"/>
      <c r="Y200" s="75"/>
      <c r="Z200" s="96">
        <f>SUM(Tableau1[[#This Row],[A-1]:[G-5]])</f>
        <v>0</v>
      </c>
      <c r="AA200" s="96" t="str">
        <f>IF(AND(Z200&gt;0,Tableau1[[#This Row],[CDS]]=""),"Oui","Non")</f>
        <v>Non</v>
      </c>
      <c r="AB200" s="75"/>
      <c r="AC200" s="75"/>
      <c r="AD200" s="75"/>
      <c r="AE200" s="75"/>
      <c r="AF200" s="75"/>
      <c r="AG200" s="75"/>
      <c r="AH200" s="75"/>
      <c r="AI200" s="75"/>
      <c r="AJ200" s="81"/>
      <c r="AK200" s="75"/>
      <c r="AL200" s="75"/>
    </row>
    <row r="201" spans="1:38" hidden="1" x14ac:dyDescent="0.25">
      <c r="A201" s="75"/>
      <c r="B201" s="75"/>
      <c r="C201" s="35">
        <f>INDEX(Données!$F$2:$L$54,MATCH(F201,Données!$F$2:$F$54,0),2)</f>
        <v>44053</v>
      </c>
      <c r="D201" s="29" t="str">
        <f t="shared" si="7"/>
        <v>Veuillez inscrire votre nom</v>
      </c>
      <c r="E201" s="7">
        <f>Données!H34</f>
        <v>44054</v>
      </c>
      <c r="F201" s="6" t="str">
        <f>INDEX(Données!$F$2:$L$54,MATCH('Portail d''objectifs'!E201,Données!$G$2:$G$54,1),1)</f>
        <v>33</v>
      </c>
      <c r="G201" s="18" t="b">
        <f t="shared" si="8"/>
        <v>0</v>
      </c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1"/>
      <c r="W201" s="75"/>
      <c r="X201" s="75"/>
      <c r="Y201" s="75"/>
      <c r="Z201" s="96">
        <f>SUM(Tableau1[[#This Row],[A-1]:[G-5]])</f>
        <v>0</v>
      </c>
      <c r="AA201" s="96" t="str">
        <f>IF(AND(Z201&gt;0,Tableau1[[#This Row],[CDS]]=""),"Oui","Non")</f>
        <v>Non</v>
      </c>
      <c r="AB201" s="75"/>
      <c r="AC201" s="75"/>
      <c r="AD201" s="75"/>
      <c r="AE201" s="75"/>
      <c r="AF201" s="75"/>
      <c r="AG201" s="75"/>
      <c r="AH201" s="75"/>
      <c r="AI201" s="75"/>
      <c r="AJ201" s="81"/>
      <c r="AK201" s="75"/>
      <c r="AL201" s="75"/>
    </row>
    <row r="202" spans="1:38" hidden="1" x14ac:dyDescent="0.25">
      <c r="A202" s="75"/>
      <c r="B202" s="75"/>
      <c r="C202" s="35">
        <f>INDEX(Données!$F$2:$L$54,MATCH(F202,Données!$F$2:$F$54,0),2)</f>
        <v>44053</v>
      </c>
      <c r="D202" s="29" t="str">
        <f t="shared" si="7"/>
        <v>Veuillez inscrire votre nom</v>
      </c>
      <c r="E202" s="7">
        <f>Données!I34</f>
        <v>44055</v>
      </c>
      <c r="F202" s="6" t="str">
        <f>INDEX(Données!$F$2:$L$54,MATCH('Portail d''objectifs'!E202,Données!$G$2:$G$54,1),1)</f>
        <v>33</v>
      </c>
      <c r="G202" s="18" t="b">
        <f t="shared" si="8"/>
        <v>0</v>
      </c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1"/>
      <c r="W202" s="75"/>
      <c r="X202" s="75"/>
      <c r="Y202" s="75"/>
      <c r="Z202" s="96">
        <f>SUM(Tableau1[[#This Row],[A-1]:[G-5]])</f>
        <v>0</v>
      </c>
      <c r="AA202" s="96" t="str">
        <f>IF(AND(Z202&gt;0,Tableau1[[#This Row],[CDS]]=""),"Oui","Non")</f>
        <v>Non</v>
      </c>
      <c r="AB202" s="75"/>
      <c r="AC202" s="75"/>
      <c r="AD202" s="75"/>
      <c r="AE202" s="75"/>
      <c r="AF202" s="75"/>
      <c r="AG202" s="75"/>
      <c r="AH202" s="75"/>
      <c r="AI202" s="75"/>
      <c r="AJ202" s="81"/>
      <c r="AK202" s="75"/>
      <c r="AL202" s="75"/>
    </row>
    <row r="203" spans="1:38" hidden="1" x14ac:dyDescent="0.25">
      <c r="A203" s="75"/>
      <c r="B203" s="75"/>
      <c r="C203" s="35">
        <f>INDEX(Données!$F$2:$L$54,MATCH(F203,Données!$F$2:$F$54,0),2)</f>
        <v>44053</v>
      </c>
      <c r="D203" s="29" t="str">
        <f t="shared" si="7"/>
        <v>Veuillez inscrire votre nom</v>
      </c>
      <c r="E203" s="7">
        <f>Données!J34</f>
        <v>44056</v>
      </c>
      <c r="F203" s="6" t="str">
        <f>INDEX(Données!$F$2:$L$54,MATCH('Portail d''objectifs'!E203,Données!$G$2:$G$54,1),1)</f>
        <v>33</v>
      </c>
      <c r="G203" s="18" t="b">
        <f t="shared" si="8"/>
        <v>0</v>
      </c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1"/>
      <c r="W203" s="75"/>
      <c r="X203" s="75"/>
      <c r="Y203" s="75"/>
      <c r="Z203" s="96">
        <f>SUM(Tableau1[[#This Row],[A-1]:[G-5]])</f>
        <v>0</v>
      </c>
      <c r="AA203" s="96" t="str">
        <f>IF(AND(Z203&gt;0,Tableau1[[#This Row],[CDS]]=""),"Oui","Non")</f>
        <v>Non</v>
      </c>
      <c r="AB203" s="75"/>
      <c r="AC203" s="75"/>
      <c r="AD203" s="75"/>
      <c r="AE203" s="75"/>
      <c r="AF203" s="75"/>
      <c r="AG203" s="75"/>
      <c r="AH203" s="75"/>
      <c r="AI203" s="75"/>
      <c r="AJ203" s="81"/>
      <c r="AK203" s="75"/>
      <c r="AL203" s="75"/>
    </row>
    <row r="204" spans="1:38" hidden="1" x14ac:dyDescent="0.25">
      <c r="A204" s="75"/>
      <c r="B204" s="75"/>
      <c r="C204" s="35">
        <f>INDEX(Données!$F$2:$L$54,MATCH(F204,Données!$F$2:$F$54,0),2)</f>
        <v>44053</v>
      </c>
      <c r="D204" s="29" t="str">
        <f t="shared" si="7"/>
        <v>Veuillez inscrire votre nom</v>
      </c>
      <c r="E204" s="7">
        <f>Données!K34</f>
        <v>44057</v>
      </c>
      <c r="F204" s="6" t="str">
        <f>INDEX(Données!$F$2:$L$54,MATCH('Portail d''objectifs'!E204,Données!$G$2:$G$54,1),1)</f>
        <v>33</v>
      </c>
      <c r="G204" s="18" t="b">
        <f t="shared" si="8"/>
        <v>0</v>
      </c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1"/>
      <c r="W204" s="75"/>
      <c r="X204" s="75"/>
      <c r="Y204" s="75"/>
      <c r="Z204" s="96">
        <f>SUM(Tableau1[[#This Row],[A-1]:[G-5]])</f>
        <v>0</v>
      </c>
      <c r="AA204" s="96" t="str">
        <f>IF(AND(Z204&gt;0,Tableau1[[#This Row],[CDS]]=""),"Oui","Non")</f>
        <v>Non</v>
      </c>
      <c r="AB204" s="75"/>
      <c r="AC204" s="75"/>
      <c r="AD204" s="75"/>
      <c r="AE204" s="75"/>
      <c r="AF204" s="75"/>
      <c r="AG204" s="75"/>
      <c r="AH204" s="75"/>
      <c r="AI204" s="75"/>
      <c r="AJ204" s="81"/>
      <c r="AK204" s="75"/>
      <c r="AL204" s="75"/>
    </row>
    <row r="205" spans="1:38" hidden="1" x14ac:dyDescent="0.25">
      <c r="A205" s="75"/>
      <c r="B205" s="75"/>
      <c r="C205" s="35">
        <f>INDEX(Données!$F$2:$L$54,MATCH(F205,Données!$F$2:$F$54,0),2)</f>
        <v>44053</v>
      </c>
      <c r="D205" s="29" t="str">
        <f t="shared" si="7"/>
        <v>Veuillez inscrire votre nom</v>
      </c>
      <c r="E205" s="7">
        <f>Données!L34</f>
        <v>44058</v>
      </c>
      <c r="F205" s="6" t="str">
        <f>INDEX(Données!$F$2:$L$54,MATCH('Portail d''objectifs'!E205,Données!$G$2:$G$54,1),1)</f>
        <v>33</v>
      </c>
      <c r="G205" s="18" t="b">
        <f t="shared" si="8"/>
        <v>0</v>
      </c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1"/>
      <c r="W205" s="75"/>
      <c r="X205" s="75"/>
      <c r="Y205" s="75"/>
      <c r="Z205" s="96">
        <f>SUM(Tableau1[[#This Row],[A-1]:[G-5]])</f>
        <v>0</v>
      </c>
      <c r="AA205" s="96" t="str">
        <f>IF(AND(Z205&gt;0,Tableau1[[#This Row],[CDS]]=""),"Oui","Non")</f>
        <v>Non</v>
      </c>
      <c r="AB205" s="75"/>
      <c r="AC205" s="75"/>
      <c r="AD205" s="75"/>
      <c r="AE205" s="75"/>
      <c r="AF205" s="75"/>
      <c r="AG205" s="75"/>
      <c r="AH205" s="75"/>
      <c r="AI205" s="75"/>
      <c r="AJ205" s="81"/>
      <c r="AK205" s="75"/>
      <c r="AL205" s="75"/>
    </row>
    <row r="206" spans="1:38" hidden="1" x14ac:dyDescent="0.25">
      <c r="A206" s="75"/>
      <c r="B206" s="75"/>
      <c r="C206" s="35">
        <f>INDEX(Données!$F$2:$L$54,MATCH(F206,Données!$F$2:$F$54,0),2)</f>
        <v>44060</v>
      </c>
      <c r="D206" s="29" t="str">
        <f t="shared" si="7"/>
        <v>Veuillez inscrire votre nom</v>
      </c>
      <c r="E206" s="7">
        <f>Données!G35</f>
        <v>44060</v>
      </c>
      <c r="F206" s="6" t="str">
        <f>INDEX(Données!$F$2:$L$54,MATCH('Portail d''objectifs'!E206,Données!$G$2:$G$54,1),1)</f>
        <v>34</v>
      </c>
      <c r="G206" s="18" t="b">
        <f t="shared" si="8"/>
        <v>0</v>
      </c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1"/>
      <c r="W206" s="75"/>
      <c r="X206" s="75"/>
      <c r="Y206" s="75"/>
      <c r="Z206" s="96">
        <f>SUM(Tableau1[[#This Row],[A-1]:[G-5]])</f>
        <v>0</v>
      </c>
      <c r="AA206" s="96" t="str">
        <f>IF(AND(Z206&gt;0,Tableau1[[#This Row],[CDS]]=""),"Oui","Non")</f>
        <v>Non</v>
      </c>
      <c r="AB206" s="75"/>
      <c r="AC206" s="75"/>
      <c r="AD206" s="75"/>
      <c r="AE206" s="75"/>
      <c r="AF206" s="75"/>
      <c r="AG206" s="75"/>
      <c r="AH206" s="75"/>
      <c r="AI206" s="75"/>
      <c r="AJ206" s="81"/>
      <c r="AK206" s="75"/>
      <c r="AL206" s="75"/>
    </row>
    <row r="207" spans="1:38" hidden="1" x14ac:dyDescent="0.25">
      <c r="A207" s="75"/>
      <c r="B207" s="75"/>
      <c r="C207" s="35">
        <f>INDEX(Données!$F$2:$L$54,MATCH(F207,Données!$F$2:$F$54,0),2)</f>
        <v>44060</v>
      </c>
      <c r="D207" s="29" t="str">
        <f t="shared" si="7"/>
        <v>Veuillez inscrire votre nom</v>
      </c>
      <c r="E207" s="7">
        <f>Données!H35</f>
        <v>44061</v>
      </c>
      <c r="F207" s="6" t="str">
        <f>INDEX(Données!$F$2:$L$54,MATCH('Portail d''objectifs'!E207,Données!$G$2:$G$54,1),1)</f>
        <v>34</v>
      </c>
      <c r="G207" s="18" t="b">
        <f t="shared" si="8"/>
        <v>0</v>
      </c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1"/>
      <c r="W207" s="75"/>
      <c r="X207" s="75"/>
      <c r="Y207" s="75"/>
      <c r="Z207" s="96">
        <f>SUM(Tableau1[[#This Row],[A-1]:[G-5]])</f>
        <v>0</v>
      </c>
      <c r="AA207" s="96" t="str">
        <f>IF(AND(Z207&gt;0,Tableau1[[#This Row],[CDS]]=""),"Oui","Non")</f>
        <v>Non</v>
      </c>
      <c r="AB207" s="75"/>
      <c r="AC207" s="75"/>
      <c r="AD207" s="75"/>
      <c r="AE207" s="75"/>
      <c r="AF207" s="75"/>
      <c r="AG207" s="75"/>
      <c r="AH207" s="75"/>
      <c r="AI207" s="75"/>
      <c r="AJ207" s="81"/>
      <c r="AK207" s="75"/>
      <c r="AL207" s="75"/>
    </row>
    <row r="208" spans="1:38" hidden="1" x14ac:dyDescent="0.25">
      <c r="A208" s="75"/>
      <c r="B208" s="75"/>
      <c r="C208" s="35">
        <f>INDEX(Données!$F$2:$L$54,MATCH(F208,Données!$F$2:$F$54,0),2)</f>
        <v>44060</v>
      </c>
      <c r="D208" s="29" t="str">
        <f t="shared" si="7"/>
        <v>Veuillez inscrire votre nom</v>
      </c>
      <c r="E208" s="7">
        <f>Données!I35</f>
        <v>44062</v>
      </c>
      <c r="F208" s="6" t="str">
        <f>INDEX(Données!$F$2:$L$54,MATCH('Portail d''objectifs'!E208,Données!$G$2:$G$54,1),1)</f>
        <v>34</v>
      </c>
      <c r="G208" s="18" t="b">
        <f t="shared" si="8"/>
        <v>0</v>
      </c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1"/>
      <c r="W208" s="75"/>
      <c r="X208" s="75"/>
      <c r="Y208" s="75"/>
      <c r="Z208" s="96">
        <f>SUM(Tableau1[[#This Row],[A-1]:[G-5]])</f>
        <v>0</v>
      </c>
      <c r="AA208" s="96" t="str">
        <f>IF(AND(Z208&gt;0,Tableau1[[#This Row],[CDS]]=""),"Oui","Non")</f>
        <v>Non</v>
      </c>
      <c r="AB208" s="75"/>
      <c r="AC208" s="75"/>
      <c r="AD208" s="75"/>
      <c r="AE208" s="75"/>
      <c r="AF208" s="75"/>
      <c r="AG208" s="75"/>
      <c r="AH208" s="75"/>
      <c r="AI208" s="75"/>
      <c r="AJ208" s="81"/>
      <c r="AK208" s="75"/>
      <c r="AL208" s="75"/>
    </row>
    <row r="209" spans="1:38" hidden="1" x14ac:dyDescent="0.25">
      <c r="A209" s="75"/>
      <c r="B209" s="75"/>
      <c r="C209" s="35">
        <f>INDEX(Données!$F$2:$L$54,MATCH(F209,Données!$F$2:$F$54,0),2)</f>
        <v>44060</v>
      </c>
      <c r="D209" s="29" t="str">
        <f t="shared" si="7"/>
        <v>Veuillez inscrire votre nom</v>
      </c>
      <c r="E209" s="7">
        <f>Données!J35</f>
        <v>44063</v>
      </c>
      <c r="F209" s="6" t="str">
        <f>INDEX(Données!$F$2:$L$54,MATCH('Portail d''objectifs'!E209,Données!$G$2:$G$54,1),1)</f>
        <v>34</v>
      </c>
      <c r="G209" s="18" t="b">
        <f t="shared" si="8"/>
        <v>0</v>
      </c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1"/>
      <c r="W209" s="75"/>
      <c r="X209" s="75"/>
      <c r="Y209" s="75"/>
      <c r="Z209" s="96">
        <f>SUM(Tableau1[[#This Row],[A-1]:[G-5]])</f>
        <v>0</v>
      </c>
      <c r="AA209" s="96" t="str">
        <f>IF(AND(Z209&gt;0,Tableau1[[#This Row],[CDS]]=""),"Oui","Non")</f>
        <v>Non</v>
      </c>
      <c r="AB209" s="75"/>
      <c r="AC209" s="75"/>
      <c r="AD209" s="75"/>
      <c r="AE209" s="75"/>
      <c r="AF209" s="75"/>
      <c r="AG209" s="75"/>
      <c r="AH209" s="75"/>
      <c r="AI209" s="75"/>
      <c r="AJ209" s="81"/>
      <c r="AK209" s="75"/>
      <c r="AL209" s="75"/>
    </row>
    <row r="210" spans="1:38" hidden="1" x14ac:dyDescent="0.25">
      <c r="A210" s="75"/>
      <c r="B210" s="75"/>
      <c r="C210" s="35">
        <f>INDEX(Données!$F$2:$L$54,MATCH(F210,Données!$F$2:$F$54,0),2)</f>
        <v>44060</v>
      </c>
      <c r="D210" s="29" t="str">
        <f t="shared" si="7"/>
        <v>Veuillez inscrire votre nom</v>
      </c>
      <c r="E210" s="7">
        <f>Données!K35</f>
        <v>44064</v>
      </c>
      <c r="F210" s="6" t="str">
        <f>INDEX(Données!$F$2:$L$54,MATCH('Portail d''objectifs'!E210,Données!$G$2:$G$54,1),1)</f>
        <v>34</v>
      </c>
      <c r="G210" s="18" t="b">
        <f t="shared" si="8"/>
        <v>0</v>
      </c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1"/>
      <c r="W210" s="75"/>
      <c r="X210" s="75"/>
      <c r="Y210" s="75"/>
      <c r="Z210" s="96">
        <f>SUM(Tableau1[[#This Row],[A-1]:[G-5]])</f>
        <v>0</v>
      </c>
      <c r="AA210" s="96" t="str">
        <f>IF(AND(Z210&gt;0,Tableau1[[#This Row],[CDS]]=""),"Oui","Non")</f>
        <v>Non</v>
      </c>
      <c r="AB210" s="75"/>
      <c r="AC210" s="75"/>
      <c r="AD210" s="75"/>
      <c r="AE210" s="75"/>
      <c r="AF210" s="75"/>
      <c r="AG210" s="75"/>
      <c r="AH210" s="75"/>
      <c r="AI210" s="75"/>
      <c r="AJ210" s="81"/>
      <c r="AK210" s="75"/>
      <c r="AL210" s="75"/>
    </row>
    <row r="211" spans="1:38" hidden="1" x14ac:dyDescent="0.25">
      <c r="A211" s="75"/>
      <c r="B211" s="75"/>
      <c r="C211" s="35">
        <f>INDEX(Données!$F$2:$L$54,MATCH(F211,Données!$F$2:$F$54,0),2)</f>
        <v>44060</v>
      </c>
      <c r="D211" s="29" t="str">
        <f t="shared" si="7"/>
        <v>Veuillez inscrire votre nom</v>
      </c>
      <c r="E211" s="7">
        <f>Données!L35</f>
        <v>44065</v>
      </c>
      <c r="F211" s="6" t="str">
        <f>INDEX(Données!$F$2:$L$54,MATCH('Portail d''objectifs'!E211,Données!$G$2:$G$54,1),1)</f>
        <v>34</v>
      </c>
      <c r="G211" s="18" t="b">
        <f t="shared" si="8"/>
        <v>0</v>
      </c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1"/>
      <c r="W211" s="75"/>
      <c r="X211" s="75"/>
      <c r="Y211" s="75"/>
      <c r="Z211" s="96">
        <f>SUM(Tableau1[[#This Row],[A-1]:[G-5]])</f>
        <v>0</v>
      </c>
      <c r="AA211" s="96" t="str">
        <f>IF(AND(Z211&gt;0,Tableau1[[#This Row],[CDS]]=""),"Oui","Non")</f>
        <v>Non</v>
      </c>
      <c r="AB211" s="75"/>
      <c r="AC211" s="75"/>
      <c r="AD211" s="75"/>
      <c r="AE211" s="75"/>
      <c r="AF211" s="75"/>
      <c r="AG211" s="75"/>
      <c r="AH211" s="75"/>
      <c r="AI211" s="75"/>
      <c r="AJ211" s="81"/>
      <c r="AK211" s="75"/>
      <c r="AL211" s="75"/>
    </row>
    <row r="212" spans="1:38" hidden="1" x14ac:dyDescent="0.25">
      <c r="A212" s="75"/>
      <c r="B212" s="75"/>
      <c r="C212" s="35">
        <f>INDEX(Données!$F$2:$L$54,MATCH(F212,Données!$F$2:$F$54,0),2)</f>
        <v>44067</v>
      </c>
      <c r="D212" s="29" t="str">
        <f t="shared" si="7"/>
        <v>Veuillez inscrire votre nom</v>
      </c>
      <c r="E212" s="7">
        <f>Données!G36</f>
        <v>44067</v>
      </c>
      <c r="F212" s="6" t="str">
        <f>INDEX(Données!$F$2:$L$54,MATCH('Portail d''objectifs'!E212,Données!$G$2:$G$54,1),1)</f>
        <v>35</v>
      </c>
      <c r="G212" s="18" t="b">
        <f t="shared" si="8"/>
        <v>0</v>
      </c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1"/>
      <c r="W212" s="75"/>
      <c r="X212" s="75"/>
      <c r="Y212" s="75"/>
      <c r="Z212" s="96">
        <f>SUM(Tableau1[[#This Row],[A-1]:[G-5]])</f>
        <v>0</v>
      </c>
      <c r="AA212" s="96" t="str">
        <f>IF(AND(Z212&gt;0,Tableau1[[#This Row],[CDS]]=""),"Oui","Non")</f>
        <v>Non</v>
      </c>
      <c r="AB212" s="75"/>
      <c r="AC212" s="75"/>
      <c r="AD212" s="75"/>
      <c r="AE212" s="75"/>
      <c r="AF212" s="75"/>
      <c r="AG212" s="75"/>
      <c r="AH212" s="75"/>
      <c r="AI212" s="75"/>
      <c r="AJ212" s="81"/>
      <c r="AK212" s="75"/>
      <c r="AL212" s="75"/>
    </row>
    <row r="213" spans="1:38" hidden="1" x14ac:dyDescent="0.25">
      <c r="A213" s="75"/>
      <c r="B213" s="75"/>
      <c r="C213" s="35">
        <f>INDEX(Données!$F$2:$L$54,MATCH(F213,Données!$F$2:$F$54,0),2)</f>
        <v>44067</v>
      </c>
      <c r="D213" s="29" t="str">
        <f t="shared" si="7"/>
        <v>Veuillez inscrire votre nom</v>
      </c>
      <c r="E213" s="7">
        <f>Données!H36</f>
        <v>44068</v>
      </c>
      <c r="F213" s="6" t="str">
        <f>INDEX(Données!$F$2:$L$54,MATCH('Portail d''objectifs'!E213,Données!$G$2:$G$54,1),1)</f>
        <v>35</v>
      </c>
      <c r="G213" s="18" t="b">
        <f t="shared" si="8"/>
        <v>0</v>
      </c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1"/>
      <c r="W213" s="75"/>
      <c r="X213" s="75"/>
      <c r="Y213" s="75"/>
      <c r="Z213" s="96">
        <f>SUM(Tableau1[[#This Row],[A-1]:[G-5]])</f>
        <v>0</v>
      </c>
      <c r="AA213" s="96" t="str">
        <f>IF(AND(Z213&gt;0,Tableau1[[#This Row],[CDS]]=""),"Oui","Non")</f>
        <v>Non</v>
      </c>
      <c r="AB213" s="75"/>
      <c r="AC213" s="75"/>
      <c r="AD213" s="75"/>
      <c r="AE213" s="75"/>
      <c r="AF213" s="75"/>
      <c r="AG213" s="75"/>
      <c r="AH213" s="75"/>
      <c r="AI213" s="75"/>
      <c r="AJ213" s="81"/>
      <c r="AK213" s="75"/>
      <c r="AL213" s="75"/>
    </row>
    <row r="214" spans="1:38" hidden="1" x14ac:dyDescent="0.25">
      <c r="A214" s="75"/>
      <c r="B214" s="75"/>
      <c r="C214" s="35">
        <f>INDEX(Données!$F$2:$L$54,MATCH(F214,Données!$F$2:$F$54,0),2)</f>
        <v>44067</v>
      </c>
      <c r="D214" s="29" t="str">
        <f t="shared" si="7"/>
        <v>Veuillez inscrire votre nom</v>
      </c>
      <c r="E214" s="7">
        <f>Données!I36</f>
        <v>44069</v>
      </c>
      <c r="F214" s="6" t="str">
        <f>INDEX(Données!$F$2:$L$54,MATCH('Portail d''objectifs'!E214,Données!$G$2:$G$54,1),1)</f>
        <v>35</v>
      </c>
      <c r="G214" s="18" t="b">
        <f t="shared" si="8"/>
        <v>0</v>
      </c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1"/>
      <c r="W214" s="75"/>
      <c r="X214" s="75"/>
      <c r="Y214" s="75"/>
      <c r="Z214" s="96">
        <f>SUM(Tableau1[[#This Row],[A-1]:[G-5]])</f>
        <v>0</v>
      </c>
      <c r="AA214" s="96" t="str">
        <f>IF(AND(Z214&gt;0,Tableau1[[#This Row],[CDS]]=""),"Oui","Non")</f>
        <v>Non</v>
      </c>
      <c r="AB214" s="75"/>
      <c r="AC214" s="75"/>
      <c r="AD214" s="75"/>
      <c r="AE214" s="75"/>
      <c r="AF214" s="75"/>
      <c r="AG214" s="75"/>
      <c r="AH214" s="75"/>
      <c r="AI214" s="75"/>
      <c r="AJ214" s="81"/>
      <c r="AK214" s="75"/>
      <c r="AL214" s="75"/>
    </row>
    <row r="215" spans="1:38" hidden="1" x14ac:dyDescent="0.25">
      <c r="A215" s="75"/>
      <c r="B215" s="75"/>
      <c r="C215" s="35">
        <f>INDEX(Données!$F$2:$L$54,MATCH(F215,Données!$F$2:$F$54,0),2)</f>
        <v>44067</v>
      </c>
      <c r="D215" s="29" t="str">
        <f t="shared" si="7"/>
        <v>Veuillez inscrire votre nom</v>
      </c>
      <c r="E215" s="7">
        <f>Données!J36</f>
        <v>44070</v>
      </c>
      <c r="F215" s="6" t="str">
        <f>INDEX(Données!$F$2:$L$54,MATCH('Portail d''objectifs'!E215,Données!$G$2:$G$54,1),1)</f>
        <v>35</v>
      </c>
      <c r="G215" s="18" t="b">
        <f t="shared" si="8"/>
        <v>0</v>
      </c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1"/>
      <c r="W215" s="75"/>
      <c r="X215" s="75"/>
      <c r="Y215" s="75"/>
      <c r="Z215" s="96">
        <f>SUM(Tableau1[[#This Row],[A-1]:[G-5]])</f>
        <v>0</v>
      </c>
      <c r="AA215" s="96" t="str">
        <f>IF(AND(Z215&gt;0,Tableau1[[#This Row],[CDS]]=""),"Oui","Non")</f>
        <v>Non</v>
      </c>
      <c r="AB215" s="75"/>
      <c r="AC215" s="75"/>
      <c r="AD215" s="75"/>
      <c r="AE215" s="75"/>
      <c r="AF215" s="75"/>
      <c r="AG215" s="75"/>
      <c r="AH215" s="75"/>
      <c r="AI215" s="75"/>
      <c r="AJ215" s="81"/>
      <c r="AK215" s="75"/>
      <c r="AL215" s="75"/>
    </row>
    <row r="216" spans="1:38" hidden="1" x14ac:dyDescent="0.25">
      <c r="A216" s="75"/>
      <c r="B216" s="75"/>
      <c r="C216" s="35">
        <f>INDEX(Données!$F$2:$L$54,MATCH(F216,Données!$F$2:$F$54,0),2)</f>
        <v>44067</v>
      </c>
      <c r="D216" s="29" t="str">
        <f t="shared" si="7"/>
        <v>Veuillez inscrire votre nom</v>
      </c>
      <c r="E216" s="7">
        <f>Données!K36</f>
        <v>44071</v>
      </c>
      <c r="F216" s="6" t="str">
        <f>INDEX(Données!$F$2:$L$54,MATCH('Portail d''objectifs'!E216,Données!$G$2:$G$54,1),1)</f>
        <v>35</v>
      </c>
      <c r="G216" s="18" t="b">
        <f t="shared" si="8"/>
        <v>0</v>
      </c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1"/>
      <c r="W216" s="75"/>
      <c r="X216" s="75"/>
      <c r="Y216" s="75"/>
      <c r="Z216" s="96">
        <f>SUM(Tableau1[[#This Row],[A-1]:[G-5]])</f>
        <v>0</v>
      </c>
      <c r="AA216" s="96" t="str">
        <f>IF(AND(Z216&gt;0,Tableau1[[#This Row],[CDS]]=""),"Oui","Non")</f>
        <v>Non</v>
      </c>
      <c r="AB216" s="75"/>
      <c r="AC216" s="75"/>
      <c r="AD216" s="75"/>
      <c r="AE216" s="75"/>
      <c r="AF216" s="75"/>
      <c r="AG216" s="75"/>
      <c r="AH216" s="75"/>
      <c r="AI216" s="75"/>
      <c r="AJ216" s="81"/>
      <c r="AK216" s="75"/>
      <c r="AL216" s="75"/>
    </row>
    <row r="217" spans="1:38" hidden="1" x14ac:dyDescent="0.25">
      <c r="A217" s="75"/>
      <c r="B217" s="75"/>
      <c r="C217" s="35">
        <f>INDEX(Données!$F$2:$L$54,MATCH(F217,Données!$F$2:$F$54,0),2)</f>
        <v>44067</v>
      </c>
      <c r="D217" s="29" t="str">
        <f t="shared" si="7"/>
        <v>Veuillez inscrire votre nom</v>
      </c>
      <c r="E217" s="7">
        <f>Données!L36</f>
        <v>44072</v>
      </c>
      <c r="F217" s="6" t="str">
        <f>INDEX(Données!$F$2:$L$54,MATCH('Portail d''objectifs'!E217,Données!$G$2:$G$54,1),1)</f>
        <v>35</v>
      </c>
      <c r="G217" s="18" t="b">
        <f t="shared" si="8"/>
        <v>0</v>
      </c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1"/>
      <c r="W217" s="75"/>
      <c r="X217" s="75"/>
      <c r="Y217" s="75"/>
      <c r="Z217" s="96">
        <f>SUM(Tableau1[[#This Row],[A-1]:[G-5]])</f>
        <v>0</v>
      </c>
      <c r="AA217" s="96" t="str">
        <f>IF(AND(Z217&gt;0,Tableau1[[#This Row],[CDS]]=""),"Oui","Non")</f>
        <v>Non</v>
      </c>
      <c r="AB217" s="75"/>
      <c r="AC217" s="75"/>
      <c r="AD217" s="75"/>
      <c r="AE217" s="75"/>
      <c r="AF217" s="75"/>
      <c r="AG217" s="75"/>
      <c r="AH217" s="75"/>
      <c r="AI217" s="75"/>
      <c r="AJ217" s="81"/>
      <c r="AK217" s="75"/>
      <c r="AL217" s="75"/>
    </row>
    <row r="218" spans="1:38" hidden="1" x14ac:dyDescent="0.25">
      <c r="A218" s="75"/>
      <c r="B218" s="75"/>
      <c r="C218" s="35">
        <f>INDEX(Données!$F$2:$L$54,MATCH(F218,Données!$F$2:$F$54,0),2)</f>
        <v>44074</v>
      </c>
      <c r="D218" s="29" t="str">
        <f t="shared" si="7"/>
        <v>Veuillez inscrire votre nom</v>
      </c>
      <c r="E218" s="7">
        <f>Données!G37</f>
        <v>44074</v>
      </c>
      <c r="F218" s="6" t="str">
        <f>INDEX(Données!$F$2:$L$54,MATCH('Portail d''objectifs'!E218,Données!$G$2:$G$54,1),1)</f>
        <v>36</v>
      </c>
      <c r="G218" s="18" t="b">
        <f t="shared" si="8"/>
        <v>0</v>
      </c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1"/>
      <c r="W218" s="75"/>
      <c r="X218" s="75"/>
      <c r="Y218" s="75"/>
      <c r="Z218" s="96">
        <f>SUM(Tableau1[[#This Row],[A-1]:[G-5]])</f>
        <v>0</v>
      </c>
      <c r="AA218" s="96" t="str">
        <f>IF(AND(Z218&gt;0,Tableau1[[#This Row],[CDS]]=""),"Oui","Non")</f>
        <v>Non</v>
      </c>
      <c r="AB218" s="75"/>
      <c r="AC218" s="75"/>
      <c r="AD218" s="75"/>
      <c r="AE218" s="75"/>
      <c r="AF218" s="75"/>
      <c r="AG218" s="75"/>
      <c r="AH218" s="75"/>
      <c r="AI218" s="75"/>
      <c r="AJ218" s="81"/>
      <c r="AK218" s="75"/>
      <c r="AL218" s="75"/>
    </row>
    <row r="219" spans="1:38" hidden="1" x14ac:dyDescent="0.25">
      <c r="A219" s="75"/>
      <c r="B219" s="75"/>
      <c r="C219" s="35">
        <f>INDEX(Données!$F$2:$L$54,MATCH(F219,Données!$F$2:$F$54,0),2)</f>
        <v>44074</v>
      </c>
      <c r="D219" s="29" t="str">
        <f t="shared" si="7"/>
        <v>Veuillez inscrire votre nom</v>
      </c>
      <c r="E219" s="7">
        <f>Données!H37</f>
        <v>44075</v>
      </c>
      <c r="F219" s="6" t="str">
        <f>INDEX(Données!$F$2:$L$54,MATCH('Portail d''objectifs'!E219,Données!$G$2:$G$54,1),1)</f>
        <v>36</v>
      </c>
      <c r="G219" s="18" t="b">
        <f t="shared" si="8"/>
        <v>0</v>
      </c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1"/>
      <c r="W219" s="75"/>
      <c r="X219" s="75"/>
      <c r="Y219" s="75"/>
      <c r="Z219" s="96">
        <f>SUM(Tableau1[[#This Row],[A-1]:[G-5]])</f>
        <v>0</v>
      </c>
      <c r="AA219" s="96" t="str">
        <f>IF(AND(Z219&gt;0,Tableau1[[#This Row],[CDS]]=""),"Oui","Non")</f>
        <v>Non</v>
      </c>
      <c r="AB219" s="75"/>
      <c r="AC219" s="75"/>
      <c r="AD219" s="75"/>
      <c r="AE219" s="75"/>
      <c r="AF219" s="75"/>
      <c r="AG219" s="75"/>
      <c r="AH219" s="75"/>
      <c r="AI219" s="75"/>
      <c r="AJ219" s="81"/>
      <c r="AK219" s="75"/>
      <c r="AL219" s="75"/>
    </row>
    <row r="220" spans="1:38" hidden="1" x14ac:dyDescent="0.25">
      <c r="A220" s="75"/>
      <c r="B220" s="75"/>
      <c r="C220" s="35">
        <f>INDEX(Données!$F$2:$L$54,MATCH(F220,Données!$F$2:$F$54,0),2)</f>
        <v>44074</v>
      </c>
      <c r="D220" s="29" t="str">
        <f t="shared" si="7"/>
        <v>Veuillez inscrire votre nom</v>
      </c>
      <c r="E220" s="7">
        <f>Données!I37</f>
        <v>44076</v>
      </c>
      <c r="F220" s="6" t="str">
        <f>INDEX(Données!$F$2:$L$54,MATCH('Portail d''objectifs'!E220,Données!$G$2:$G$54,1),1)</f>
        <v>36</v>
      </c>
      <c r="G220" s="18" t="b">
        <f t="shared" si="8"/>
        <v>0</v>
      </c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1"/>
      <c r="W220" s="75"/>
      <c r="X220" s="75"/>
      <c r="Y220" s="75"/>
      <c r="Z220" s="96">
        <f>SUM(Tableau1[[#This Row],[A-1]:[G-5]])</f>
        <v>0</v>
      </c>
      <c r="AA220" s="96" t="str">
        <f>IF(AND(Z220&gt;0,Tableau1[[#This Row],[CDS]]=""),"Oui","Non")</f>
        <v>Non</v>
      </c>
      <c r="AB220" s="75"/>
      <c r="AC220" s="75"/>
      <c r="AD220" s="75"/>
      <c r="AE220" s="75"/>
      <c r="AF220" s="75"/>
      <c r="AG220" s="75"/>
      <c r="AH220" s="75"/>
      <c r="AI220" s="75"/>
      <c r="AJ220" s="81"/>
      <c r="AK220" s="75"/>
      <c r="AL220" s="75"/>
    </row>
    <row r="221" spans="1:38" hidden="1" x14ac:dyDescent="0.25">
      <c r="A221" s="75"/>
      <c r="B221" s="75"/>
      <c r="C221" s="35">
        <f>INDEX(Données!$F$2:$L$54,MATCH(F221,Données!$F$2:$F$54,0),2)</f>
        <v>44074</v>
      </c>
      <c r="D221" s="29" t="str">
        <f t="shared" si="7"/>
        <v>Veuillez inscrire votre nom</v>
      </c>
      <c r="E221" s="7">
        <f>Données!J37</f>
        <v>44077</v>
      </c>
      <c r="F221" s="6" t="str">
        <f>INDEX(Données!$F$2:$L$54,MATCH('Portail d''objectifs'!E221,Données!$G$2:$G$54,1),1)</f>
        <v>36</v>
      </c>
      <c r="G221" s="18" t="b">
        <f t="shared" si="8"/>
        <v>0</v>
      </c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1"/>
      <c r="W221" s="75"/>
      <c r="X221" s="75"/>
      <c r="Y221" s="75"/>
      <c r="Z221" s="96">
        <f>SUM(Tableau1[[#This Row],[A-1]:[G-5]])</f>
        <v>0</v>
      </c>
      <c r="AA221" s="96" t="str">
        <f>IF(AND(Z221&gt;0,Tableau1[[#This Row],[CDS]]=""),"Oui","Non")</f>
        <v>Non</v>
      </c>
      <c r="AB221" s="75"/>
      <c r="AC221" s="75"/>
      <c r="AD221" s="75"/>
      <c r="AE221" s="75"/>
      <c r="AF221" s="75"/>
      <c r="AG221" s="75"/>
      <c r="AH221" s="75"/>
      <c r="AI221" s="75"/>
      <c r="AJ221" s="81"/>
      <c r="AK221" s="75"/>
      <c r="AL221" s="75"/>
    </row>
    <row r="222" spans="1:38" hidden="1" x14ac:dyDescent="0.25">
      <c r="A222" s="75"/>
      <c r="B222" s="75"/>
      <c r="C222" s="35">
        <f>INDEX(Données!$F$2:$L$54,MATCH(F222,Données!$F$2:$F$54,0),2)</f>
        <v>44074</v>
      </c>
      <c r="D222" s="29" t="str">
        <f t="shared" si="7"/>
        <v>Veuillez inscrire votre nom</v>
      </c>
      <c r="E222" s="7">
        <f>Données!K37</f>
        <v>44078</v>
      </c>
      <c r="F222" s="6" t="str">
        <f>INDEX(Données!$F$2:$L$54,MATCH('Portail d''objectifs'!E222,Données!$G$2:$G$54,1),1)</f>
        <v>36</v>
      </c>
      <c r="G222" s="18" t="b">
        <f t="shared" si="8"/>
        <v>0</v>
      </c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1"/>
      <c r="W222" s="75"/>
      <c r="X222" s="75"/>
      <c r="Y222" s="75"/>
      <c r="Z222" s="96">
        <f>SUM(Tableau1[[#This Row],[A-1]:[G-5]])</f>
        <v>0</v>
      </c>
      <c r="AA222" s="96" t="str">
        <f>IF(AND(Z222&gt;0,Tableau1[[#This Row],[CDS]]=""),"Oui","Non")</f>
        <v>Non</v>
      </c>
      <c r="AB222" s="75"/>
      <c r="AC222" s="75"/>
      <c r="AD222" s="75"/>
      <c r="AE222" s="75"/>
      <c r="AF222" s="75"/>
      <c r="AG222" s="75"/>
      <c r="AH222" s="75"/>
      <c r="AI222" s="75"/>
      <c r="AJ222" s="81"/>
      <c r="AK222" s="75"/>
      <c r="AL222" s="75"/>
    </row>
    <row r="223" spans="1:38" hidden="1" x14ac:dyDescent="0.25">
      <c r="A223" s="75"/>
      <c r="B223" s="75"/>
      <c r="C223" s="35">
        <f>INDEX(Données!$F$2:$L$54,MATCH(F223,Données!$F$2:$F$54,0),2)</f>
        <v>44074</v>
      </c>
      <c r="D223" s="29" t="str">
        <f t="shared" si="7"/>
        <v>Veuillez inscrire votre nom</v>
      </c>
      <c r="E223" s="7">
        <f>Données!L37</f>
        <v>44079</v>
      </c>
      <c r="F223" s="6" t="str">
        <f>INDEX(Données!$F$2:$L$54,MATCH('Portail d''objectifs'!E223,Données!$G$2:$G$54,1),1)</f>
        <v>36</v>
      </c>
      <c r="G223" s="18" t="b">
        <f t="shared" si="8"/>
        <v>0</v>
      </c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1"/>
      <c r="W223" s="75"/>
      <c r="X223" s="75"/>
      <c r="Y223" s="75"/>
      <c r="Z223" s="96">
        <f>SUM(Tableau1[[#This Row],[A-1]:[G-5]])</f>
        <v>0</v>
      </c>
      <c r="AA223" s="96" t="str">
        <f>IF(AND(Z223&gt;0,Tableau1[[#This Row],[CDS]]=""),"Oui","Non")</f>
        <v>Non</v>
      </c>
      <c r="AB223" s="75"/>
      <c r="AC223" s="75"/>
      <c r="AD223" s="75"/>
      <c r="AE223" s="75"/>
      <c r="AF223" s="75"/>
      <c r="AG223" s="75"/>
      <c r="AH223" s="75"/>
      <c r="AI223" s="75"/>
      <c r="AJ223" s="81"/>
      <c r="AK223" s="75"/>
      <c r="AL223" s="75"/>
    </row>
    <row r="224" spans="1:38" hidden="1" x14ac:dyDescent="0.25">
      <c r="A224" s="75"/>
      <c r="B224" s="75"/>
      <c r="C224" s="35">
        <f>INDEX(Données!$F$2:$L$54,MATCH(F224,Données!$F$2:$F$54,0),2)</f>
        <v>44081</v>
      </c>
      <c r="D224" s="29" t="str">
        <f t="shared" si="7"/>
        <v>Veuillez inscrire votre nom</v>
      </c>
      <c r="E224" s="7">
        <f>Données!G38</f>
        <v>44081</v>
      </c>
      <c r="F224" s="6" t="str">
        <f>INDEX(Données!$F$2:$L$54,MATCH('Portail d''objectifs'!E224,Données!$G$2:$G$54,1),1)</f>
        <v>37</v>
      </c>
      <c r="G224" s="18" t="b">
        <f t="shared" si="8"/>
        <v>0</v>
      </c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1"/>
      <c r="W224" s="75"/>
      <c r="X224" s="75"/>
      <c r="Y224" s="75"/>
      <c r="Z224" s="96">
        <f>SUM(Tableau1[[#This Row],[A-1]:[G-5]])</f>
        <v>0</v>
      </c>
      <c r="AA224" s="96" t="str">
        <f>IF(AND(Z224&gt;0,Tableau1[[#This Row],[CDS]]=""),"Oui","Non")</f>
        <v>Non</v>
      </c>
      <c r="AB224" s="75"/>
      <c r="AC224" s="75"/>
      <c r="AD224" s="75"/>
      <c r="AE224" s="75"/>
      <c r="AF224" s="75"/>
      <c r="AG224" s="75"/>
      <c r="AH224" s="75"/>
      <c r="AI224" s="75"/>
      <c r="AJ224" s="81"/>
      <c r="AK224" s="75"/>
      <c r="AL224" s="75"/>
    </row>
    <row r="225" spans="1:38" hidden="1" x14ac:dyDescent="0.25">
      <c r="A225" s="75"/>
      <c r="B225" s="75"/>
      <c r="C225" s="35">
        <f>INDEX(Données!$F$2:$L$54,MATCH(F225,Données!$F$2:$F$54,0),2)</f>
        <v>44081</v>
      </c>
      <c r="D225" s="29" t="str">
        <f t="shared" si="7"/>
        <v>Veuillez inscrire votre nom</v>
      </c>
      <c r="E225" s="7">
        <f>Données!H38</f>
        <v>44082</v>
      </c>
      <c r="F225" s="6" t="str">
        <f>INDEX(Données!$F$2:$L$54,MATCH('Portail d''objectifs'!E225,Données!$G$2:$G$54,1),1)</f>
        <v>37</v>
      </c>
      <c r="G225" s="18" t="b">
        <f t="shared" si="8"/>
        <v>0</v>
      </c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1"/>
      <c r="W225" s="75"/>
      <c r="X225" s="75"/>
      <c r="Y225" s="75"/>
      <c r="Z225" s="96">
        <f>SUM(Tableau1[[#This Row],[A-1]:[G-5]])</f>
        <v>0</v>
      </c>
      <c r="AA225" s="96" t="str">
        <f>IF(AND(Z225&gt;0,Tableau1[[#This Row],[CDS]]=""),"Oui","Non")</f>
        <v>Non</v>
      </c>
      <c r="AB225" s="75"/>
      <c r="AC225" s="75"/>
      <c r="AD225" s="75"/>
      <c r="AE225" s="75"/>
      <c r="AF225" s="75"/>
      <c r="AG225" s="75"/>
      <c r="AH225" s="75"/>
      <c r="AI225" s="75"/>
      <c r="AJ225" s="81"/>
      <c r="AK225" s="75"/>
      <c r="AL225" s="75"/>
    </row>
    <row r="226" spans="1:38" hidden="1" x14ac:dyDescent="0.25">
      <c r="A226" s="75"/>
      <c r="B226" s="75"/>
      <c r="C226" s="35">
        <f>INDEX(Données!$F$2:$L$54,MATCH(F226,Données!$F$2:$F$54,0),2)</f>
        <v>44081</v>
      </c>
      <c r="D226" s="29" t="str">
        <f t="shared" si="7"/>
        <v>Veuillez inscrire votre nom</v>
      </c>
      <c r="E226" s="7">
        <f>Données!I38</f>
        <v>44083</v>
      </c>
      <c r="F226" s="6" t="str">
        <f>INDEX(Données!$F$2:$L$54,MATCH('Portail d''objectifs'!E226,Données!$G$2:$G$54,1),1)</f>
        <v>37</v>
      </c>
      <c r="G226" s="18" t="b">
        <f t="shared" si="8"/>
        <v>0</v>
      </c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1"/>
      <c r="W226" s="75"/>
      <c r="X226" s="75"/>
      <c r="Y226" s="75"/>
      <c r="Z226" s="96">
        <f>SUM(Tableau1[[#This Row],[A-1]:[G-5]])</f>
        <v>0</v>
      </c>
      <c r="AA226" s="96" t="str">
        <f>IF(AND(Z226&gt;0,Tableau1[[#This Row],[CDS]]=""),"Oui","Non")</f>
        <v>Non</v>
      </c>
      <c r="AB226" s="75"/>
      <c r="AC226" s="75"/>
      <c r="AD226" s="75"/>
      <c r="AE226" s="75"/>
      <c r="AF226" s="75"/>
      <c r="AG226" s="75"/>
      <c r="AH226" s="75"/>
      <c r="AI226" s="75"/>
      <c r="AJ226" s="81"/>
      <c r="AK226" s="75"/>
      <c r="AL226" s="75"/>
    </row>
    <row r="227" spans="1:38" hidden="1" x14ac:dyDescent="0.25">
      <c r="A227" s="75"/>
      <c r="B227" s="75"/>
      <c r="C227" s="35">
        <f>INDEX(Données!$F$2:$L$54,MATCH(F227,Données!$F$2:$F$54,0),2)</f>
        <v>44081</v>
      </c>
      <c r="D227" s="29" t="str">
        <f t="shared" si="7"/>
        <v>Veuillez inscrire votre nom</v>
      </c>
      <c r="E227" s="7">
        <f>Données!J38</f>
        <v>44084</v>
      </c>
      <c r="F227" s="6" t="str">
        <f>INDEX(Données!$F$2:$L$54,MATCH('Portail d''objectifs'!E227,Données!$G$2:$G$54,1),1)</f>
        <v>37</v>
      </c>
      <c r="G227" s="18" t="b">
        <f t="shared" si="8"/>
        <v>0</v>
      </c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1"/>
      <c r="W227" s="75"/>
      <c r="X227" s="75"/>
      <c r="Y227" s="75"/>
      <c r="Z227" s="96">
        <f>SUM(Tableau1[[#This Row],[A-1]:[G-5]])</f>
        <v>0</v>
      </c>
      <c r="AA227" s="96" t="str">
        <f>IF(AND(Z227&gt;0,Tableau1[[#This Row],[CDS]]=""),"Oui","Non")</f>
        <v>Non</v>
      </c>
      <c r="AB227" s="75"/>
      <c r="AC227" s="75"/>
      <c r="AD227" s="75"/>
      <c r="AE227" s="75"/>
      <c r="AF227" s="75"/>
      <c r="AG227" s="75"/>
      <c r="AH227" s="75"/>
      <c r="AI227" s="75"/>
      <c r="AJ227" s="81"/>
      <c r="AK227" s="75"/>
      <c r="AL227" s="75"/>
    </row>
    <row r="228" spans="1:38" hidden="1" x14ac:dyDescent="0.25">
      <c r="A228" s="75"/>
      <c r="B228" s="75"/>
      <c r="C228" s="35">
        <f>INDEX(Données!$F$2:$L$54,MATCH(F228,Données!$F$2:$F$54,0),2)</f>
        <v>44081</v>
      </c>
      <c r="D228" s="29" t="str">
        <f t="shared" si="7"/>
        <v>Veuillez inscrire votre nom</v>
      </c>
      <c r="E228" s="7">
        <f>Données!K38</f>
        <v>44085</v>
      </c>
      <c r="F228" s="6" t="str">
        <f>INDEX(Données!$F$2:$L$54,MATCH('Portail d''objectifs'!E228,Données!$G$2:$G$54,1),1)</f>
        <v>37</v>
      </c>
      <c r="G228" s="18" t="b">
        <f t="shared" si="8"/>
        <v>0</v>
      </c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1"/>
      <c r="W228" s="75"/>
      <c r="X228" s="75"/>
      <c r="Y228" s="75"/>
      <c r="Z228" s="96">
        <f>SUM(Tableau1[[#This Row],[A-1]:[G-5]])</f>
        <v>0</v>
      </c>
      <c r="AA228" s="96" t="str">
        <f>IF(AND(Z228&gt;0,Tableau1[[#This Row],[CDS]]=""),"Oui","Non")</f>
        <v>Non</v>
      </c>
      <c r="AB228" s="75"/>
      <c r="AC228" s="75"/>
      <c r="AD228" s="75"/>
      <c r="AE228" s="75"/>
      <c r="AF228" s="75"/>
      <c r="AG228" s="75"/>
      <c r="AH228" s="75"/>
      <c r="AI228" s="75"/>
      <c r="AJ228" s="81"/>
      <c r="AK228" s="75"/>
      <c r="AL228" s="75"/>
    </row>
    <row r="229" spans="1:38" hidden="1" x14ac:dyDescent="0.25">
      <c r="A229" s="75"/>
      <c r="B229" s="75"/>
      <c r="C229" s="35">
        <f>INDEX(Données!$F$2:$L$54,MATCH(F229,Données!$F$2:$F$54,0),2)</f>
        <v>44081</v>
      </c>
      <c r="D229" s="29" t="str">
        <f t="shared" si="7"/>
        <v>Veuillez inscrire votre nom</v>
      </c>
      <c r="E229" s="7">
        <f>Données!L38</f>
        <v>44086</v>
      </c>
      <c r="F229" s="6" t="str">
        <f>INDEX(Données!$F$2:$L$54,MATCH('Portail d''objectifs'!E229,Données!$G$2:$G$54,1),1)</f>
        <v>37</v>
      </c>
      <c r="G229" s="18" t="b">
        <f t="shared" si="8"/>
        <v>0</v>
      </c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1"/>
      <c r="W229" s="75"/>
      <c r="X229" s="75"/>
      <c r="Y229" s="75"/>
      <c r="Z229" s="96">
        <f>SUM(Tableau1[[#This Row],[A-1]:[G-5]])</f>
        <v>0</v>
      </c>
      <c r="AA229" s="96" t="str">
        <f>IF(AND(Z229&gt;0,Tableau1[[#This Row],[CDS]]=""),"Oui","Non")</f>
        <v>Non</v>
      </c>
      <c r="AB229" s="75"/>
      <c r="AC229" s="75"/>
      <c r="AD229" s="75"/>
      <c r="AE229" s="75"/>
      <c r="AF229" s="75"/>
      <c r="AG229" s="75"/>
      <c r="AH229" s="75"/>
      <c r="AI229" s="75"/>
      <c r="AJ229" s="81"/>
      <c r="AK229" s="75"/>
      <c r="AL229" s="75"/>
    </row>
    <row r="230" spans="1:38" hidden="1" x14ac:dyDescent="0.25">
      <c r="A230" s="75"/>
      <c r="B230" s="75"/>
      <c r="C230" s="35">
        <f>INDEX(Données!$F$2:$L$54,MATCH(F230,Données!$F$2:$F$54,0),2)</f>
        <v>44088</v>
      </c>
      <c r="D230" s="29" t="str">
        <f t="shared" si="7"/>
        <v>Veuillez inscrire votre nom</v>
      </c>
      <c r="E230" s="7">
        <f>Données!G39</f>
        <v>44088</v>
      </c>
      <c r="F230" s="6" t="str">
        <f>INDEX(Données!$F$2:$L$54,MATCH('Portail d''objectifs'!E230,Données!$G$2:$G$54,1),1)</f>
        <v>38</v>
      </c>
      <c r="G230" s="18" t="b">
        <f t="shared" si="8"/>
        <v>0</v>
      </c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1"/>
      <c r="W230" s="75"/>
      <c r="X230" s="75"/>
      <c r="Y230" s="75"/>
      <c r="Z230" s="96">
        <f>SUM(Tableau1[[#This Row],[A-1]:[G-5]])</f>
        <v>0</v>
      </c>
      <c r="AA230" s="96" t="str">
        <f>IF(AND(Z230&gt;0,Tableau1[[#This Row],[CDS]]=""),"Oui","Non")</f>
        <v>Non</v>
      </c>
      <c r="AB230" s="75"/>
      <c r="AC230" s="75"/>
      <c r="AD230" s="75"/>
      <c r="AE230" s="75"/>
      <c r="AF230" s="75"/>
      <c r="AG230" s="75"/>
      <c r="AH230" s="75"/>
      <c r="AI230" s="75"/>
      <c r="AJ230" s="81"/>
      <c r="AK230" s="75"/>
      <c r="AL230" s="75"/>
    </row>
    <row r="231" spans="1:38" hidden="1" x14ac:dyDescent="0.25">
      <c r="A231" s="75"/>
      <c r="B231" s="75"/>
      <c r="C231" s="35">
        <f>INDEX(Données!$F$2:$L$54,MATCH(F231,Données!$F$2:$F$54,0),2)</f>
        <v>44088</v>
      </c>
      <c r="D231" s="29" t="str">
        <f t="shared" si="7"/>
        <v>Veuillez inscrire votre nom</v>
      </c>
      <c r="E231" s="7">
        <f>Données!H39</f>
        <v>44089</v>
      </c>
      <c r="F231" s="6" t="str">
        <f>INDEX(Données!$F$2:$L$54,MATCH('Portail d''objectifs'!E231,Données!$G$2:$G$54,1),1)</f>
        <v>38</v>
      </c>
      <c r="G231" s="18" t="b">
        <f t="shared" si="8"/>
        <v>0</v>
      </c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1"/>
      <c r="W231" s="75"/>
      <c r="X231" s="75"/>
      <c r="Y231" s="75"/>
      <c r="Z231" s="96">
        <f>SUM(Tableau1[[#This Row],[A-1]:[G-5]])</f>
        <v>0</v>
      </c>
      <c r="AA231" s="96" t="str">
        <f>IF(AND(Z231&gt;0,Tableau1[[#This Row],[CDS]]=""),"Oui","Non")</f>
        <v>Non</v>
      </c>
      <c r="AB231" s="75"/>
      <c r="AC231" s="75"/>
      <c r="AD231" s="75"/>
      <c r="AE231" s="75"/>
      <c r="AF231" s="75"/>
      <c r="AG231" s="75"/>
      <c r="AH231" s="75"/>
      <c r="AI231" s="75"/>
      <c r="AJ231" s="81"/>
      <c r="AK231" s="75"/>
      <c r="AL231" s="75"/>
    </row>
    <row r="232" spans="1:38" hidden="1" x14ac:dyDescent="0.25">
      <c r="A232" s="75"/>
      <c r="B232" s="75"/>
      <c r="C232" s="35">
        <f>INDEX(Données!$F$2:$L$54,MATCH(F232,Données!$F$2:$F$54,0),2)</f>
        <v>44088</v>
      </c>
      <c r="D232" s="29" t="str">
        <f t="shared" si="7"/>
        <v>Veuillez inscrire votre nom</v>
      </c>
      <c r="E232" s="7">
        <f>Données!I39</f>
        <v>44090</v>
      </c>
      <c r="F232" s="6" t="str">
        <f>INDEX(Données!$F$2:$L$54,MATCH('Portail d''objectifs'!E232,Données!$G$2:$G$54,1),1)</f>
        <v>38</v>
      </c>
      <c r="G232" s="18" t="b">
        <f t="shared" si="8"/>
        <v>0</v>
      </c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1"/>
      <c r="W232" s="75"/>
      <c r="X232" s="75"/>
      <c r="Y232" s="75"/>
      <c r="Z232" s="96">
        <f>SUM(Tableau1[[#This Row],[A-1]:[G-5]])</f>
        <v>0</v>
      </c>
      <c r="AA232" s="96" t="str">
        <f>IF(AND(Z232&gt;0,Tableau1[[#This Row],[CDS]]=""),"Oui","Non")</f>
        <v>Non</v>
      </c>
      <c r="AB232" s="75"/>
      <c r="AC232" s="75"/>
      <c r="AD232" s="75"/>
      <c r="AE232" s="75"/>
      <c r="AF232" s="75"/>
      <c r="AG232" s="75"/>
      <c r="AH232" s="75"/>
      <c r="AI232" s="75"/>
      <c r="AJ232" s="81"/>
      <c r="AK232" s="75"/>
      <c r="AL232" s="75"/>
    </row>
    <row r="233" spans="1:38" hidden="1" x14ac:dyDescent="0.25">
      <c r="A233" s="75"/>
      <c r="B233" s="75"/>
      <c r="C233" s="35">
        <f>INDEX(Données!$F$2:$L$54,MATCH(F233,Données!$F$2:$F$54,0),2)</f>
        <v>44088</v>
      </c>
      <c r="D233" s="29" t="str">
        <f t="shared" si="7"/>
        <v>Veuillez inscrire votre nom</v>
      </c>
      <c r="E233" s="7">
        <f>Données!J39</f>
        <v>44091</v>
      </c>
      <c r="F233" s="6" t="str">
        <f>INDEX(Données!$F$2:$L$54,MATCH('Portail d''objectifs'!E233,Données!$G$2:$G$54,1),1)</f>
        <v>38</v>
      </c>
      <c r="G233" s="18" t="b">
        <f t="shared" si="8"/>
        <v>0</v>
      </c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1"/>
      <c r="W233" s="75"/>
      <c r="X233" s="75"/>
      <c r="Y233" s="75"/>
      <c r="Z233" s="96">
        <f>SUM(Tableau1[[#This Row],[A-1]:[G-5]])</f>
        <v>0</v>
      </c>
      <c r="AA233" s="96" t="str">
        <f>IF(AND(Z233&gt;0,Tableau1[[#This Row],[CDS]]=""),"Oui","Non")</f>
        <v>Non</v>
      </c>
      <c r="AB233" s="75"/>
      <c r="AC233" s="75"/>
      <c r="AD233" s="75"/>
      <c r="AE233" s="75"/>
      <c r="AF233" s="75"/>
      <c r="AG233" s="75"/>
      <c r="AH233" s="75"/>
      <c r="AI233" s="75"/>
      <c r="AJ233" s="81"/>
      <c r="AK233" s="75"/>
      <c r="AL233" s="75"/>
    </row>
    <row r="234" spans="1:38" hidden="1" x14ac:dyDescent="0.25">
      <c r="A234" s="75"/>
      <c r="B234" s="75"/>
      <c r="C234" s="35">
        <f>INDEX(Données!$F$2:$L$54,MATCH(F234,Données!$F$2:$F$54,0),2)</f>
        <v>44088</v>
      </c>
      <c r="D234" s="29" t="str">
        <f t="shared" si="7"/>
        <v>Veuillez inscrire votre nom</v>
      </c>
      <c r="E234" s="7">
        <f>Données!K39</f>
        <v>44092</v>
      </c>
      <c r="F234" s="6" t="str">
        <f>INDEX(Données!$F$2:$L$54,MATCH('Portail d''objectifs'!E234,Données!$G$2:$G$54,1),1)</f>
        <v>38</v>
      </c>
      <c r="G234" s="18" t="b">
        <f t="shared" si="8"/>
        <v>0</v>
      </c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1"/>
      <c r="W234" s="75"/>
      <c r="X234" s="75"/>
      <c r="Y234" s="75"/>
      <c r="Z234" s="96">
        <f>SUM(Tableau1[[#This Row],[A-1]:[G-5]])</f>
        <v>0</v>
      </c>
      <c r="AA234" s="96" t="str">
        <f>IF(AND(Z234&gt;0,Tableau1[[#This Row],[CDS]]=""),"Oui","Non")</f>
        <v>Non</v>
      </c>
      <c r="AB234" s="75"/>
      <c r="AC234" s="75"/>
      <c r="AD234" s="75"/>
      <c r="AE234" s="75"/>
      <c r="AF234" s="75"/>
      <c r="AG234" s="75"/>
      <c r="AH234" s="75"/>
      <c r="AI234" s="75"/>
      <c r="AJ234" s="81"/>
      <c r="AK234" s="75"/>
      <c r="AL234" s="75"/>
    </row>
    <row r="235" spans="1:38" hidden="1" x14ac:dyDescent="0.25">
      <c r="A235" s="75"/>
      <c r="B235" s="75"/>
      <c r="C235" s="35">
        <f>INDEX(Données!$F$2:$L$54,MATCH(F235,Données!$F$2:$F$54,0),2)</f>
        <v>44088</v>
      </c>
      <c r="D235" s="29" t="str">
        <f t="shared" si="7"/>
        <v>Veuillez inscrire votre nom</v>
      </c>
      <c r="E235" s="7">
        <f>Données!L39</f>
        <v>44093</v>
      </c>
      <c r="F235" s="6" t="str">
        <f>INDEX(Données!$F$2:$L$54,MATCH('Portail d''objectifs'!E235,Données!$G$2:$G$54,1),1)</f>
        <v>38</v>
      </c>
      <c r="G235" s="18" t="b">
        <f t="shared" si="8"/>
        <v>0</v>
      </c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1"/>
      <c r="W235" s="75"/>
      <c r="X235" s="75"/>
      <c r="Y235" s="75"/>
      <c r="Z235" s="96">
        <f>SUM(Tableau1[[#This Row],[A-1]:[G-5]])</f>
        <v>0</v>
      </c>
      <c r="AA235" s="96" t="str">
        <f>IF(AND(Z235&gt;0,Tableau1[[#This Row],[CDS]]=""),"Oui","Non")</f>
        <v>Non</v>
      </c>
      <c r="AB235" s="75"/>
      <c r="AC235" s="75"/>
      <c r="AD235" s="75"/>
      <c r="AE235" s="75"/>
      <c r="AF235" s="75"/>
      <c r="AG235" s="75"/>
      <c r="AH235" s="75"/>
      <c r="AI235" s="75"/>
      <c r="AJ235" s="81"/>
      <c r="AK235" s="75"/>
      <c r="AL235" s="75"/>
    </row>
    <row r="236" spans="1:38" hidden="1" x14ac:dyDescent="0.25">
      <c r="A236" s="75"/>
      <c r="B236" s="75"/>
      <c r="C236" s="35">
        <f>INDEX(Données!$F$2:$L$54,MATCH(F236,Données!$F$2:$F$54,0),2)</f>
        <v>44095</v>
      </c>
      <c r="D236" s="29" t="str">
        <f t="shared" si="7"/>
        <v>Veuillez inscrire votre nom</v>
      </c>
      <c r="E236" s="7">
        <f>Données!G40</f>
        <v>44095</v>
      </c>
      <c r="F236" s="6" t="str">
        <f>INDEX(Données!$F$2:$L$54,MATCH('Portail d''objectifs'!E236,Données!$G$2:$G$54,1),1)</f>
        <v>39</v>
      </c>
      <c r="G236" s="18" t="b">
        <f t="shared" si="8"/>
        <v>0</v>
      </c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1"/>
      <c r="W236" s="75"/>
      <c r="X236" s="75"/>
      <c r="Y236" s="75"/>
      <c r="Z236" s="96">
        <f>SUM(Tableau1[[#This Row],[A-1]:[G-5]])</f>
        <v>0</v>
      </c>
      <c r="AA236" s="96" t="str">
        <f>IF(AND(Z236&gt;0,Tableau1[[#This Row],[CDS]]=""),"Oui","Non")</f>
        <v>Non</v>
      </c>
      <c r="AB236" s="75"/>
      <c r="AC236" s="75"/>
      <c r="AD236" s="75"/>
      <c r="AE236" s="75"/>
      <c r="AF236" s="75"/>
      <c r="AG236" s="75"/>
      <c r="AH236" s="75"/>
      <c r="AI236" s="75"/>
      <c r="AJ236" s="81"/>
      <c r="AK236" s="75"/>
      <c r="AL236" s="75"/>
    </row>
    <row r="237" spans="1:38" hidden="1" x14ac:dyDescent="0.25">
      <c r="A237" s="75"/>
      <c r="B237" s="75"/>
      <c r="C237" s="35">
        <f>INDEX(Données!$F$2:$L$54,MATCH(F237,Données!$F$2:$F$54,0),2)</f>
        <v>44095</v>
      </c>
      <c r="D237" s="29" t="str">
        <f t="shared" si="7"/>
        <v>Veuillez inscrire votre nom</v>
      </c>
      <c r="E237" s="7">
        <f>Données!H40</f>
        <v>44096</v>
      </c>
      <c r="F237" s="6" t="str">
        <f>INDEX(Données!$F$2:$L$54,MATCH('Portail d''objectifs'!E237,Données!$G$2:$G$54,1),1)</f>
        <v>39</v>
      </c>
      <c r="G237" s="18" t="b">
        <f t="shared" si="8"/>
        <v>0</v>
      </c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1"/>
      <c r="W237" s="75"/>
      <c r="X237" s="75"/>
      <c r="Y237" s="75"/>
      <c r="Z237" s="96">
        <f>SUM(Tableau1[[#This Row],[A-1]:[G-5]])</f>
        <v>0</v>
      </c>
      <c r="AA237" s="96" t="str">
        <f>IF(AND(Z237&gt;0,Tableau1[[#This Row],[CDS]]=""),"Oui","Non")</f>
        <v>Non</v>
      </c>
      <c r="AB237" s="75"/>
      <c r="AC237" s="75"/>
      <c r="AD237" s="75"/>
      <c r="AE237" s="75"/>
      <c r="AF237" s="75"/>
      <c r="AG237" s="75"/>
      <c r="AH237" s="75"/>
      <c r="AI237" s="75"/>
      <c r="AJ237" s="81"/>
      <c r="AK237" s="75"/>
      <c r="AL237" s="75"/>
    </row>
    <row r="238" spans="1:38" hidden="1" x14ac:dyDescent="0.25">
      <c r="A238" s="75"/>
      <c r="B238" s="75"/>
      <c r="C238" s="35">
        <f>INDEX(Données!$F$2:$L$54,MATCH(F238,Données!$F$2:$F$54,0),2)</f>
        <v>44095</v>
      </c>
      <c r="D238" s="29" t="str">
        <f t="shared" si="7"/>
        <v>Veuillez inscrire votre nom</v>
      </c>
      <c r="E238" s="7">
        <f>Données!I40</f>
        <v>44097</v>
      </c>
      <c r="F238" s="6" t="str">
        <f>INDEX(Données!$F$2:$L$54,MATCH('Portail d''objectifs'!E238,Données!$G$2:$G$54,1),1)</f>
        <v>39</v>
      </c>
      <c r="G238" s="18" t="b">
        <f t="shared" si="8"/>
        <v>0</v>
      </c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1"/>
      <c r="W238" s="75"/>
      <c r="X238" s="75"/>
      <c r="Y238" s="75"/>
      <c r="Z238" s="96">
        <f>SUM(Tableau1[[#This Row],[A-1]:[G-5]])</f>
        <v>0</v>
      </c>
      <c r="AA238" s="96" t="str">
        <f>IF(AND(Z238&gt;0,Tableau1[[#This Row],[CDS]]=""),"Oui","Non")</f>
        <v>Non</v>
      </c>
      <c r="AB238" s="75"/>
      <c r="AC238" s="75"/>
      <c r="AD238" s="75"/>
      <c r="AE238" s="75"/>
      <c r="AF238" s="75"/>
      <c r="AG238" s="75"/>
      <c r="AH238" s="75"/>
      <c r="AI238" s="75"/>
      <c r="AJ238" s="81"/>
      <c r="AK238" s="75"/>
      <c r="AL238" s="75"/>
    </row>
    <row r="239" spans="1:38" hidden="1" x14ac:dyDescent="0.25">
      <c r="A239" s="75"/>
      <c r="B239" s="75"/>
      <c r="C239" s="35">
        <f>INDEX(Données!$F$2:$L$54,MATCH(F239,Données!$F$2:$F$54,0),2)</f>
        <v>44095</v>
      </c>
      <c r="D239" s="29" t="str">
        <f t="shared" si="7"/>
        <v>Veuillez inscrire votre nom</v>
      </c>
      <c r="E239" s="7">
        <f>Données!J40</f>
        <v>44098</v>
      </c>
      <c r="F239" s="6" t="str">
        <f>INDEX(Données!$F$2:$L$54,MATCH('Portail d''objectifs'!E239,Données!$G$2:$G$54,1),1)</f>
        <v>39</v>
      </c>
      <c r="G239" s="18" t="b">
        <f t="shared" si="8"/>
        <v>0</v>
      </c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1"/>
      <c r="W239" s="75"/>
      <c r="X239" s="75"/>
      <c r="Y239" s="75"/>
      <c r="Z239" s="96">
        <f>SUM(Tableau1[[#This Row],[A-1]:[G-5]])</f>
        <v>0</v>
      </c>
      <c r="AA239" s="96" t="str">
        <f>IF(AND(Z239&gt;0,Tableau1[[#This Row],[CDS]]=""),"Oui","Non")</f>
        <v>Non</v>
      </c>
      <c r="AB239" s="75"/>
      <c r="AC239" s="75"/>
      <c r="AD239" s="75"/>
      <c r="AE239" s="75"/>
      <c r="AF239" s="75"/>
      <c r="AG239" s="75"/>
      <c r="AH239" s="75"/>
      <c r="AI239" s="75"/>
      <c r="AJ239" s="81"/>
      <c r="AK239" s="75"/>
      <c r="AL239" s="75"/>
    </row>
    <row r="240" spans="1:38" hidden="1" x14ac:dyDescent="0.25">
      <c r="A240" s="75"/>
      <c r="B240" s="75"/>
      <c r="C240" s="35">
        <f>INDEX(Données!$F$2:$L$54,MATCH(F240,Données!$F$2:$F$54,0),2)</f>
        <v>44095</v>
      </c>
      <c r="D240" s="29" t="str">
        <f t="shared" si="7"/>
        <v>Veuillez inscrire votre nom</v>
      </c>
      <c r="E240" s="7">
        <f>Données!K40</f>
        <v>44099</v>
      </c>
      <c r="F240" s="6" t="str">
        <f>INDEX(Données!$F$2:$L$54,MATCH('Portail d''objectifs'!E240,Données!$G$2:$G$54,1),1)</f>
        <v>39</v>
      </c>
      <c r="G240" s="18" t="b">
        <f t="shared" si="8"/>
        <v>0</v>
      </c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1"/>
      <c r="W240" s="75"/>
      <c r="X240" s="75"/>
      <c r="Y240" s="75"/>
      <c r="Z240" s="96">
        <f>SUM(Tableau1[[#This Row],[A-1]:[G-5]])</f>
        <v>0</v>
      </c>
      <c r="AA240" s="96" t="str">
        <f>IF(AND(Z240&gt;0,Tableau1[[#This Row],[CDS]]=""),"Oui","Non")</f>
        <v>Non</v>
      </c>
      <c r="AB240" s="75"/>
      <c r="AC240" s="75"/>
      <c r="AD240" s="75"/>
      <c r="AE240" s="75"/>
      <c r="AF240" s="75"/>
      <c r="AG240" s="75"/>
      <c r="AH240" s="75"/>
      <c r="AI240" s="75"/>
      <c r="AJ240" s="81"/>
      <c r="AK240" s="75"/>
      <c r="AL240" s="75"/>
    </row>
    <row r="241" spans="1:38" hidden="1" x14ac:dyDescent="0.25">
      <c r="A241" s="75"/>
      <c r="B241" s="75"/>
      <c r="C241" s="35">
        <f>INDEX(Données!$F$2:$L$54,MATCH(F241,Données!$F$2:$F$54,0),2)</f>
        <v>44095</v>
      </c>
      <c r="D241" s="29" t="str">
        <f t="shared" si="7"/>
        <v>Veuillez inscrire votre nom</v>
      </c>
      <c r="E241" s="7">
        <f>Données!L40</f>
        <v>44100</v>
      </c>
      <c r="F241" s="6" t="str">
        <f>INDEX(Données!$F$2:$L$54,MATCH('Portail d''objectifs'!E241,Données!$G$2:$G$54,1),1)</f>
        <v>39</v>
      </c>
      <c r="G241" s="18" t="b">
        <f t="shared" si="8"/>
        <v>0</v>
      </c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1"/>
      <c r="W241" s="75"/>
      <c r="X241" s="75"/>
      <c r="Y241" s="75"/>
      <c r="Z241" s="96">
        <f>SUM(Tableau1[[#This Row],[A-1]:[G-5]])</f>
        <v>0</v>
      </c>
      <c r="AA241" s="96" t="str">
        <f>IF(AND(Z241&gt;0,Tableau1[[#This Row],[CDS]]=""),"Oui","Non")</f>
        <v>Non</v>
      </c>
      <c r="AB241" s="75"/>
      <c r="AC241" s="75"/>
      <c r="AD241" s="75"/>
      <c r="AE241" s="75"/>
      <c r="AF241" s="75"/>
      <c r="AG241" s="75"/>
      <c r="AH241" s="75"/>
      <c r="AI241" s="75"/>
      <c r="AJ241" s="81"/>
      <c r="AK241" s="75"/>
      <c r="AL241" s="75"/>
    </row>
    <row r="242" spans="1:38" hidden="1" x14ac:dyDescent="0.25">
      <c r="A242" s="75"/>
      <c r="B242" s="75"/>
      <c r="C242" s="35">
        <f>INDEX(Données!$F$2:$L$54,MATCH(F242,Données!$F$2:$F$54,0),2)</f>
        <v>44102</v>
      </c>
      <c r="D242" s="29" t="str">
        <f t="shared" si="7"/>
        <v>Veuillez inscrire votre nom</v>
      </c>
      <c r="E242" s="7">
        <f>Données!G41</f>
        <v>44102</v>
      </c>
      <c r="F242" s="6" t="str">
        <f>INDEX(Données!$F$2:$L$54,MATCH('Portail d''objectifs'!E242,Données!$G$2:$G$54,1),1)</f>
        <v>40</v>
      </c>
      <c r="G242" s="18" t="b">
        <f t="shared" si="8"/>
        <v>0</v>
      </c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1"/>
      <c r="W242" s="75"/>
      <c r="X242" s="75"/>
      <c r="Y242" s="75"/>
      <c r="Z242" s="96">
        <f>SUM(Tableau1[[#This Row],[A-1]:[G-5]])</f>
        <v>0</v>
      </c>
      <c r="AA242" s="96" t="str">
        <f>IF(AND(Z242&gt;0,Tableau1[[#This Row],[CDS]]=""),"Oui","Non")</f>
        <v>Non</v>
      </c>
      <c r="AB242" s="75"/>
      <c r="AC242" s="75"/>
      <c r="AD242" s="75"/>
      <c r="AE242" s="75"/>
      <c r="AF242" s="75"/>
      <c r="AG242" s="75"/>
      <c r="AH242" s="75"/>
      <c r="AI242" s="75"/>
      <c r="AJ242" s="81"/>
      <c r="AK242" s="75"/>
      <c r="AL242" s="75"/>
    </row>
    <row r="243" spans="1:38" hidden="1" x14ac:dyDescent="0.25">
      <c r="A243" s="75"/>
      <c r="B243" s="75"/>
      <c r="C243" s="35">
        <f>INDEX(Données!$F$2:$L$54,MATCH(F243,Données!$F$2:$F$54,0),2)</f>
        <v>44102</v>
      </c>
      <c r="D243" s="29" t="str">
        <f t="shared" si="7"/>
        <v>Veuillez inscrire votre nom</v>
      </c>
      <c r="E243" s="7">
        <f>Données!H41</f>
        <v>44103</v>
      </c>
      <c r="F243" s="6" t="str">
        <f>INDEX(Données!$F$2:$L$54,MATCH('Portail d''objectifs'!E243,Données!$G$2:$G$54,1),1)</f>
        <v>40</v>
      </c>
      <c r="G243" s="18" t="b">
        <f t="shared" si="8"/>
        <v>0</v>
      </c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1"/>
      <c r="W243" s="75"/>
      <c r="X243" s="75"/>
      <c r="Y243" s="75"/>
      <c r="Z243" s="96">
        <f>SUM(Tableau1[[#This Row],[A-1]:[G-5]])</f>
        <v>0</v>
      </c>
      <c r="AA243" s="96" t="str">
        <f>IF(AND(Z243&gt;0,Tableau1[[#This Row],[CDS]]=""),"Oui","Non")</f>
        <v>Non</v>
      </c>
      <c r="AB243" s="75"/>
      <c r="AC243" s="75"/>
      <c r="AD243" s="75"/>
      <c r="AE243" s="75"/>
      <c r="AF243" s="75"/>
      <c r="AG243" s="75"/>
      <c r="AH243" s="75"/>
      <c r="AI243" s="75"/>
      <c r="AJ243" s="81"/>
      <c r="AK243" s="75"/>
      <c r="AL243" s="75"/>
    </row>
    <row r="244" spans="1:38" hidden="1" x14ac:dyDescent="0.25">
      <c r="A244" s="75"/>
      <c r="B244" s="75"/>
      <c r="C244" s="35">
        <f>INDEX(Données!$F$2:$L$54,MATCH(F244,Données!$F$2:$F$54,0),2)</f>
        <v>44102</v>
      </c>
      <c r="D244" s="29" t="str">
        <f t="shared" si="7"/>
        <v>Veuillez inscrire votre nom</v>
      </c>
      <c r="E244" s="7">
        <f>Données!I41</f>
        <v>44104</v>
      </c>
      <c r="F244" s="6" t="str">
        <f>INDEX(Données!$F$2:$L$54,MATCH('Portail d''objectifs'!E244,Données!$G$2:$G$54,1),1)</f>
        <v>40</v>
      </c>
      <c r="G244" s="18" t="b">
        <f t="shared" si="8"/>
        <v>0</v>
      </c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1"/>
      <c r="W244" s="75"/>
      <c r="X244" s="75"/>
      <c r="Y244" s="75"/>
      <c r="Z244" s="96">
        <f>SUM(Tableau1[[#This Row],[A-1]:[G-5]])</f>
        <v>0</v>
      </c>
      <c r="AA244" s="96" t="str">
        <f>IF(AND(Z244&gt;0,Tableau1[[#This Row],[CDS]]=""),"Oui","Non")</f>
        <v>Non</v>
      </c>
      <c r="AB244" s="75"/>
      <c r="AC244" s="75"/>
      <c r="AD244" s="75"/>
      <c r="AE244" s="75"/>
      <c r="AF244" s="75"/>
      <c r="AG244" s="75"/>
      <c r="AH244" s="75"/>
      <c r="AI244" s="75"/>
      <c r="AJ244" s="81"/>
      <c r="AK244" s="75"/>
      <c r="AL244" s="75"/>
    </row>
    <row r="245" spans="1:38" hidden="1" x14ac:dyDescent="0.25">
      <c r="A245" s="75"/>
      <c r="B245" s="75"/>
      <c r="C245" s="35">
        <f>INDEX(Données!$F$2:$L$54,MATCH(F245,Données!$F$2:$F$54,0),2)</f>
        <v>44102</v>
      </c>
      <c r="D245" s="29" t="str">
        <f t="shared" si="7"/>
        <v>Veuillez inscrire votre nom</v>
      </c>
      <c r="E245" s="7">
        <f>Données!J41</f>
        <v>44105</v>
      </c>
      <c r="F245" s="6" t="str">
        <f>INDEX(Données!$F$2:$L$54,MATCH('Portail d''objectifs'!E245,Données!$G$2:$G$54,1),1)</f>
        <v>40</v>
      </c>
      <c r="G245" s="18" t="b">
        <f t="shared" si="8"/>
        <v>0</v>
      </c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1"/>
      <c r="W245" s="75"/>
      <c r="X245" s="75"/>
      <c r="Y245" s="75"/>
      <c r="Z245" s="96">
        <f>SUM(Tableau1[[#This Row],[A-1]:[G-5]])</f>
        <v>0</v>
      </c>
      <c r="AA245" s="96" t="str">
        <f>IF(AND(Z245&gt;0,Tableau1[[#This Row],[CDS]]=""),"Oui","Non")</f>
        <v>Non</v>
      </c>
      <c r="AB245" s="75"/>
      <c r="AC245" s="75"/>
      <c r="AD245" s="75"/>
      <c r="AE245" s="75"/>
      <c r="AF245" s="75"/>
      <c r="AG245" s="75"/>
      <c r="AH245" s="75"/>
      <c r="AI245" s="75"/>
      <c r="AJ245" s="81"/>
      <c r="AK245" s="75"/>
      <c r="AL245" s="75"/>
    </row>
    <row r="246" spans="1:38" hidden="1" x14ac:dyDescent="0.25">
      <c r="A246" s="75"/>
      <c r="B246" s="75"/>
      <c r="C246" s="35">
        <f>INDEX(Données!$F$2:$L$54,MATCH(F246,Données!$F$2:$F$54,0),2)</f>
        <v>44102</v>
      </c>
      <c r="D246" s="29" t="str">
        <f t="shared" si="7"/>
        <v>Veuillez inscrire votre nom</v>
      </c>
      <c r="E246" s="7">
        <f>Données!K41</f>
        <v>44106</v>
      </c>
      <c r="F246" s="6" t="str">
        <f>INDEX(Données!$F$2:$L$54,MATCH('Portail d''objectifs'!E246,Données!$G$2:$G$54,1),1)</f>
        <v>40</v>
      </c>
      <c r="G246" s="18" t="b">
        <f t="shared" si="8"/>
        <v>0</v>
      </c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1"/>
      <c r="W246" s="75"/>
      <c r="X246" s="75"/>
      <c r="Y246" s="75"/>
      <c r="Z246" s="96">
        <f>SUM(Tableau1[[#This Row],[A-1]:[G-5]])</f>
        <v>0</v>
      </c>
      <c r="AA246" s="96" t="str">
        <f>IF(AND(Z246&gt;0,Tableau1[[#This Row],[CDS]]=""),"Oui","Non")</f>
        <v>Non</v>
      </c>
      <c r="AB246" s="75"/>
      <c r="AC246" s="75"/>
      <c r="AD246" s="75"/>
      <c r="AE246" s="75"/>
      <c r="AF246" s="75"/>
      <c r="AG246" s="75"/>
      <c r="AH246" s="75"/>
      <c r="AI246" s="75"/>
      <c r="AJ246" s="81"/>
      <c r="AK246" s="75"/>
      <c r="AL246" s="75"/>
    </row>
    <row r="247" spans="1:38" hidden="1" x14ac:dyDescent="0.25">
      <c r="A247" s="75"/>
      <c r="B247" s="75"/>
      <c r="C247" s="35">
        <f>INDEX(Données!$F$2:$L$54,MATCH(F247,Données!$F$2:$F$54,0),2)</f>
        <v>44102</v>
      </c>
      <c r="D247" s="29" t="str">
        <f t="shared" si="7"/>
        <v>Veuillez inscrire votre nom</v>
      </c>
      <c r="E247" s="7">
        <f>Données!L41</f>
        <v>44107</v>
      </c>
      <c r="F247" s="6" t="str">
        <f>INDEX(Données!$F$2:$L$54,MATCH('Portail d''objectifs'!E247,Données!$G$2:$G$54,1),1)</f>
        <v>40</v>
      </c>
      <c r="G247" s="18" t="b">
        <f t="shared" si="8"/>
        <v>0</v>
      </c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1"/>
      <c r="W247" s="75"/>
      <c r="X247" s="75"/>
      <c r="Y247" s="75"/>
      <c r="Z247" s="96">
        <f>SUM(Tableau1[[#This Row],[A-1]:[G-5]])</f>
        <v>0</v>
      </c>
      <c r="AA247" s="96" t="str">
        <f>IF(AND(Z247&gt;0,Tableau1[[#This Row],[CDS]]=""),"Oui","Non")</f>
        <v>Non</v>
      </c>
      <c r="AB247" s="75"/>
      <c r="AC247" s="75"/>
      <c r="AD247" s="75"/>
      <c r="AE247" s="75"/>
      <c r="AF247" s="75"/>
      <c r="AG247" s="75"/>
      <c r="AH247" s="75"/>
      <c r="AI247" s="75"/>
      <c r="AJ247" s="81"/>
      <c r="AK247" s="75"/>
      <c r="AL247" s="75"/>
    </row>
    <row r="248" spans="1:38" hidden="1" x14ac:dyDescent="0.25">
      <c r="A248" s="75"/>
      <c r="B248" s="75"/>
      <c r="C248" s="35">
        <f>INDEX(Données!$F$2:$L$54,MATCH(F248,Données!$F$2:$F$54,0),2)</f>
        <v>44109</v>
      </c>
      <c r="D248" s="29" t="str">
        <f t="shared" si="7"/>
        <v>Veuillez inscrire votre nom</v>
      </c>
      <c r="E248" s="7">
        <f>Données!G42</f>
        <v>44109</v>
      </c>
      <c r="F248" s="6" t="str">
        <f>INDEX(Données!$F$2:$L$54,MATCH('Portail d''objectifs'!E248,Données!$G$2:$G$54,1),1)</f>
        <v>41</v>
      </c>
      <c r="G248" s="18" t="b">
        <f t="shared" si="8"/>
        <v>0</v>
      </c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1"/>
      <c r="W248" s="75"/>
      <c r="X248" s="75"/>
      <c r="Y248" s="75"/>
      <c r="Z248" s="96">
        <f>SUM(Tableau1[[#This Row],[A-1]:[G-5]])</f>
        <v>0</v>
      </c>
      <c r="AA248" s="96" t="str">
        <f>IF(AND(Z248&gt;0,Tableau1[[#This Row],[CDS]]=""),"Oui","Non")</f>
        <v>Non</v>
      </c>
      <c r="AB248" s="75"/>
      <c r="AC248" s="75"/>
      <c r="AD248" s="75"/>
      <c r="AE248" s="75"/>
      <c r="AF248" s="75"/>
      <c r="AG248" s="75"/>
      <c r="AH248" s="75"/>
      <c r="AI248" s="75"/>
      <c r="AJ248" s="81"/>
      <c r="AK248" s="75"/>
      <c r="AL248" s="75"/>
    </row>
    <row r="249" spans="1:38" hidden="1" x14ac:dyDescent="0.25">
      <c r="A249" s="75"/>
      <c r="B249" s="75"/>
      <c r="C249" s="35">
        <f>INDEX(Données!$F$2:$L$54,MATCH(F249,Données!$F$2:$F$54,0),2)</f>
        <v>44109</v>
      </c>
      <c r="D249" s="29" t="str">
        <f t="shared" si="7"/>
        <v>Veuillez inscrire votre nom</v>
      </c>
      <c r="E249" s="7">
        <f>Données!H42</f>
        <v>44110</v>
      </c>
      <c r="F249" s="6" t="str">
        <f>INDEX(Données!$F$2:$L$54,MATCH('Portail d''objectifs'!E249,Données!$G$2:$G$54,1),1)</f>
        <v>41</v>
      </c>
      <c r="G249" s="18" t="b">
        <f t="shared" si="8"/>
        <v>0</v>
      </c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1"/>
      <c r="W249" s="75"/>
      <c r="X249" s="75"/>
      <c r="Y249" s="75"/>
      <c r="Z249" s="96">
        <f>SUM(Tableau1[[#This Row],[A-1]:[G-5]])</f>
        <v>0</v>
      </c>
      <c r="AA249" s="96" t="str">
        <f>IF(AND(Z249&gt;0,Tableau1[[#This Row],[CDS]]=""),"Oui","Non")</f>
        <v>Non</v>
      </c>
      <c r="AB249" s="75"/>
      <c r="AC249" s="75"/>
      <c r="AD249" s="75"/>
      <c r="AE249" s="75"/>
      <c r="AF249" s="75"/>
      <c r="AG249" s="75"/>
      <c r="AH249" s="75"/>
      <c r="AI249" s="75"/>
      <c r="AJ249" s="81"/>
      <c r="AK249" s="75"/>
      <c r="AL249" s="75"/>
    </row>
    <row r="250" spans="1:38" hidden="1" x14ac:dyDescent="0.25">
      <c r="A250" s="75"/>
      <c r="B250" s="75"/>
      <c r="C250" s="35">
        <f>INDEX(Données!$F$2:$L$54,MATCH(F250,Données!$F$2:$F$54,0),2)</f>
        <v>44109</v>
      </c>
      <c r="D250" s="29" t="str">
        <f t="shared" si="7"/>
        <v>Veuillez inscrire votre nom</v>
      </c>
      <c r="E250" s="7">
        <f>Données!I42</f>
        <v>44111</v>
      </c>
      <c r="F250" s="6" t="str">
        <f>INDEX(Données!$F$2:$L$54,MATCH('Portail d''objectifs'!E250,Données!$G$2:$G$54,1),1)</f>
        <v>41</v>
      </c>
      <c r="G250" s="18" t="b">
        <f t="shared" si="8"/>
        <v>0</v>
      </c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1"/>
      <c r="W250" s="75"/>
      <c r="X250" s="75"/>
      <c r="Y250" s="75"/>
      <c r="Z250" s="96">
        <f>SUM(Tableau1[[#This Row],[A-1]:[G-5]])</f>
        <v>0</v>
      </c>
      <c r="AA250" s="96" t="str">
        <f>IF(AND(Z250&gt;0,Tableau1[[#This Row],[CDS]]=""),"Oui","Non")</f>
        <v>Non</v>
      </c>
      <c r="AB250" s="75"/>
      <c r="AC250" s="75"/>
      <c r="AD250" s="75"/>
      <c r="AE250" s="75"/>
      <c r="AF250" s="75"/>
      <c r="AG250" s="75"/>
      <c r="AH250" s="75"/>
      <c r="AI250" s="75"/>
      <c r="AJ250" s="81"/>
      <c r="AK250" s="75"/>
      <c r="AL250" s="75"/>
    </row>
    <row r="251" spans="1:38" hidden="1" x14ac:dyDescent="0.25">
      <c r="A251" s="75"/>
      <c r="B251" s="75"/>
      <c r="C251" s="35">
        <f>INDEX(Données!$F$2:$L$54,MATCH(F251,Données!$F$2:$F$54,0),2)</f>
        <v>44109</v>
      </c>
      <c r="D251" s="29" t="str">
        <f t="shared" si="7"/>
        <v>Veuillez inscrire votre nom</v>
      </c>
      <c r="E251" s="7">
        <f>Données!J42</f>
        <v>44112</v>
      </c>
      <c r="F251" s="6" t="str">
        <f>INDEX(Données!$F$2:$L$54,MATCH('Portail d''objectifs'!E251,Données!$G$2:$G$54,1),1)</f>
        <v>41</v>
      </c>
      <c r="G251" s="18" t="b">
        <f t="shared" si="8"/>
        <v>0</v>
      </c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1"/>
      <c r="W251" s="75"/>
      <c r="X251" s="75"/>
      <c r="Y251" s="75"/>
      <c r="Z251" s="96">
        <f>SUM(Tableau1[[#This Row],[A-1]:[G-5]])</f>
        <v>0</v>
      </c>
      <c r="AA251" s="96" t="str">
        <f>IF(AND(Z251&gt;0,Tableau1[[#This Row],[CDS]]=""),"Oui","Non")</f>
        <v>Non</v>
      </c>
      <c r="AB251" s="75"/>
      <c r="AC251" s="75"/>
      <c r="AD251" s="75"/>
      <c r="AE251" s="75"/>
      <c r="AF251" s="75"/>
      <c r="AG251" s="75"/>
      <c r="AH251" s="75"/>
      <c r="AI251" s="75"/>
      <c r="AJ251" s="81"/>
      <c r="AK251" s="75"/>
      <c r="AL251" s="75"/>
    </row>
    <row r="252" spans="1:38" hidden="1" x14ac:dyDescent="0.25">
      <c r="A252" s="75"/>
      <c r="B252" s="75"/>
      <c r="C252" s="35">
        <f>INDEX(Données!$F$2:$L$54,MATCH(F252,Données!$F$2:$F$54,0),2)</f>
        <v>44109</v>
      </c>
      <c r="D252" s="29" t="str">
        <f t="shared" si="7"/>
        <v>Veuillez inscrire votre nom</v>
      </c>
      <c r="E252" s="7">
        <f>Données!K42</f>
        <v>44113</v>
      </c>
      <c r="F252" s="6" t="str">
        <f>INDEX(Données!$F$2:$L$54,MATCH('Portail d''objectifs'!E252,Données!$G$2:$G$54,1),1)</f>
        <v>41</v>
      </c>
      <c r="G252" s="18" t="b">
        <f t="shared" si="8"/>
        <v>0</v>
      </c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1"/>
      <c r="W252" s="75"/>
      <c r="X252" s="75"/>
      <c r="Y252" s="75"/>
      <c r="Z252" s="96">
        <f>SUM(Tableau1[[#This Row],[A-1]:[G-5]])</f>
        <v>0</v>
      </c>
      <c r="AA252" s="96" t="str">
        <f>IF(AND(Z252&gt;0,Tableau1[[#This Row],[CDS]]=""),"Oui","Non")</f>
        <v>Non</v>
      </c>
      <c r="AB252" s="75"/>
      <c r="AC252" s="75"/>
      <c r="AD252" s="75"/>
      <c r="AE252" s="75"/>
      <c r="AF252" s="75"/>
      <c r="AG252" s="75"/>
      <c r="AH252" s="75"/>
      <c r="AI252" s="75"/>
      <c r="AJ252" s="81"/>
      <c r="AK252" s="75"/>
      <c r="AL252" s="75"/>
    </row>
    <row r="253" spans="1:38" hidden="1" x14ac:dyDescent="0.25">
      <c r="A253" s="75"/>
      <c r="B253" s="75"/>
      <c r="C253" s="35">
        <f>INDEX(Données!$F$2:$L$54,MATCH(F253,Données!$F$2:$F$54,0),2)</f>
        <v>44109</v>
      </c>
      <c r="D253" s="29" t="str">
        <f t="shared" si="7"/>
        <v>Veuillez inscrire votre nom</v>
      </c>
      <c r="E253" s="7">
        <f>Données!L42</f>
        <v>44114</v>
      </c>
      <c r="F253" s="6" t="str">
        <f>INDEX(Données!$F$2:$L$54,MATCH('Portail d''objectifs'!E253,Données!$G$2:$G$54,1),1)</f>
        <v>41</v>
      </c>
      <c r="G253" s="18" t="b">
        <f t="shared" si="8"/>
        <v>0</v>
      </c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1"/>
      <c r="W253" s="75"/>
      <c r="X253" s="75"/>
      <c r="Y253" s="75"/>
      <c r="Z253" s="96">
        <f>SUM(Tableau1[[#This Row],[A-1]:[G-5]])</f>
        <v>0</v>
      </c>
      <c r="AA253" s="96" t="str">
        <f>IF(AND(Z253&gt;0,Tableau1[[#This Row],[CDS]]=""),"Oui","Non")</f>
        <v>Non</v>
      </c>
      <c r="AB253" s="75"/>
      <c r="AC253" s="75"/>
      <c r="AD253" s="75"/>
      <c r="AE253" s="75"/>
      <c r="AF253" s="75"/>
      <c r="AG253" s="75"/>
      <c r="AH253" s="75"/>
      <c r="AI253" s="75"/>
      <c r="AJ253" s="81"/>
      <c r="AK253" s="75"/>
      <c r="AL253" s="75"/>
    </row>
    <row r="254" spans="1:38" hidden="1" x14ac:dyDescent="0.25">
      <c r="A254" s="75"/>
      <c r="B254" s="75"/>
      <c r="C254" s="35">
        <f>INDEX(Données!$F$2:$L$54,MATCH(F254,Données!$F$2:$F$54,0),2)</f>
        <v>44116</v>
      </c>
      <c r="D254" s="29" t="str">
        <f t="shared" si="7"/>
        <v>Veuillez inscrire votre nom</v>
      </c>
      <c r="E254" s="7">
        <f>Données!G43</f>
        <v>44116</v>
      </c>
      <c r="F254" s="6" t="str">
        <f>INDEX(Données!$F$2:$L$54,MATCH('Portail d''objectifs'!E254,Données!$G$2:$G$54,1),1)</f>
        <v>42</v>
      </c>
      <c r="G254" s="18" t="b">
        <f t="shared" si="8"/>
        <v>0</v>
      </c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1"/>
      <c r="W254" s="75"/>
      <c r="X254" s="75"/>
      <c r="Y254" s="75"/>
      <c r="Z254" s="96">
        <f>SUM(Tableau1[[#This Row],[A-1]:[G-5]])</f>
        <v>0</v>
      </c>
      <c r="AA254" s="96" t="str">
        <f>IF(AND(Z254&gt;0,Tableau1[[#This Row],[CDS]]=""),"Oui","Non")</f>
        <v>Non</v>
      </c>
      <c r="AB254" s="75"/>
      <c r="AC254" s="75"/>
      <c r="AD254" s="75"/>
      <c r="AE254" s="75"/>
      <c r="AF254" s="75"/>
      <c r="AG254" s="75"/>
      <c r="AH254" s="75"/>
      <c r="AI254" s="75"/>
      <c r="AJ254" s="81"/>
      <c r="AK254" s="75"/>
      <c r="AL254" s="75"/>
    </row>
    <row r="255" spans="1:38" hidden="1" x14ac:dyDescent="0.25">
      <c r="A255" s="75"/>
      <c r="B255" s="75"/>
      <c r="C255" s="35">
        <f>INDEX(Données!$F$2:$L$54,MATCH(F255,Données!$F$2:$F$54,0),2)</f>
        <v>44116</v>
      </c>
      <c r="D255" s="29" t="str">
        <f t="shared" si="7"/>
        <v>Veuillez inscrire votre nom</v>
      </c>
      <c r="E255" s="7">
        <f>Données!H43</f>
        <v>44117</v>
      </c>
      <c r="F255" s="6" t="str">
        <f>INDEX(Données!$F$2:$L$54,MATCH('Portail d''objectifs'!E255,Données!$G$2:$G$54,1),1)</f>
        <v>42</v>
      </c>
      <c r="G255" s="18" t="b">
        <f t="shared" si="8"/>
        <v>0</v>
      </c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1"/>
      <c r="W255" s="75"/>
      <c r="X255" s="75"/>
      <c r="Y255" s="75"/>
      <c r="Z255" s="96">
        <f>SUM(Tableau1[[#This Row],[A-1]:[G-5]])</f>
        <v>0</v>
      </c>
      <c r="AA255" s="96" t="str">
        <f>IF(AND(Z255&gt;0,Tableau1[[#This Row],[CDS]]=""),"Oui","Non")</f>
        <v>Non</v>
      </c>
      <c r="AB255" s="75"/>
      <c r="AC255" s="75"/>
      <c r="AD255" s="75"/>
      <c r="AE255" s="75"/>
      <c r="AF255" s="75"/>
      <c r="AG255" s="75"/>
      <c r="AH255" s="75"/>
      <c r="AI255" s="75"/>
      <c r="AJ255" s="81"/>
      <c r="AK255" s="75"/>
      <c r="AL255" s="75"/>
    </row>
    <row r="256" spans="1:38" hidden="1" x14ac:dyDescent="0.25">
      <c r="A256" s="75"/>
      <c r="B256" s="75"/>
      <c r="C256" s="35">
        <f>INDEX(Données!$F$2:$L$54,MATCH(F256,Données!$F$2:$F$54,0),2)</f>
        <v>44116</v>
      </c>
      <c r="D256" s="29" t="str">
        <f t="shared" si="7"/>
        <v>Veuillez inscrire votre nom</v>
      </c>
      <c r="E256" s="7">
        <f>Données!I43</f>
        <v>44118</v>
      </c>
      <c r="F256" s="6" t="str">
        <f>INDEX(Données!$F$2:$L$54,MATCH('Portail d''objectifs'!E256,Données!$G$2:$G$54,1),1)</f>
        <v>42</v>
      </c>
      <c r="G256" s="18" t="b">
        <f t="shared" si="8"/>
        <v>0</v>
      </c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1"/>
      <c r="W256" s="75"/>
      <c r="X256" s="75"/>
      <c r="Y256" s="75"/>
      <c r="Z256" s="96">
        <f>SUM(Tableau1[[#This Row],[A-1]:[G-5]])</f>
        <v>0</v>
      </c>
      <c r="AA256" s="96" t="str">
        <f>IF(AND(Z256&gt;0,Tableau1[[#This Row],[CDS]]=""),"Oui","Non")</f>
        <v>Non</v>
      </c>
      <c r="AB256" s="75"/>
      <c r="AC256" s="75"/>
      <c r="AD256" s="75"/>
      <c r="AE256" s="75"/>
      <c r="AF256" s="75"/>
      <c r="AG256" s="75"/>
      <c r="AH256" s="75"/>
      <c r="AI256" s="75"/>
      <c r="AJ256" s="81"/>
      <c r="AK256" s="75"/>
      <c r="AL256" s="75"/>
    </row>
    <row r="257" spans="1:38" hidden="1" x14ac:dyDescent="0.25">
      <c r="A257" s="75"/>
      <c r="B257" s="75"/>
      <c r="C257" s="35">
        <f>INDEX(Données!$F$2:$L$54,MATCH(F257,Données!$F$2:$F$54,0),2)</f>
        <v>44116</v>
      </c>
      <c r="D257" s="29" t="str">
        <f t="shared" si="7"/>
        <v>Veuillez inscrire votre nom</v>
      </c>
      <c r="E257" s="7">
        <f>Données!J43</f>
        <v>44119</v>
      </c>
      <c r="F257" s="6" t="str">
        <f>INDEX(Données!$F$2:$L$54,MATCH('Portail d''objectifs'!E257,Données!$G$2:$G$54,1),1)</f>
        <v>42</v>
      </c>
      <c r="G257" s="18" t="b">
        <f t="shared" si="8"/>
        <v>0</v>
      </c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1"/>
      <c r="W257" s="75"/>
      <c r="X257" s="75"/>
      <c r="Y257" s="75"/>
      <c r="Z257" s="96">
        <f>SUM(Tableau1[[#This Row],[A-1]:[G-5]])</f>
        <v>0</v>
      </c>
      <c r="AA257" s="96" t="str">
        <f>IF(AND(Z257&gt;0,Tableau1[[#This Row],[CDS]]=""),"Oui","Non")</f>
        <v>Non</v>
      </c>
      <c r="AB257" s="75"/>
      <c r="AC257" s="75"/>
      <c r="AD257" s="75"/>
      <c r="AE257" s="75"/>
      <c r="AF257" s="75"/>
      <c r="AG257" s="75"/>
      <c r="AH257" s="75"/>
      <c r="AI257" s="75"/>
      <c r="AJ257" s="81"/>
      <c r="AK257" s="75"/>
      <c r="AL257" s="75"/>
    </row>
    <row r="258" spans="1:38" hidden="1" x14ac:dyDescent="0.25">
      <c r="A258" s="75"/>
      <c r="B258" s="75"/>
      <c r="C258" s="35">
        <f>INDEX(Données!$F$2:$L$54,MATCH(F258,Données!$F$2:$F$54,0),2)</f>
        <v>44116</v>
      </c>
      <c r="D258" s="29" t="str">
        <f t="shared" si="7"/>
        <v>Veuillez inscrire votre nom</v>
      </c>
      <c r="E258" s="7">
        <f>Données!K43</f>
        <v>44120</v>
      </c>
      <c r="F258" s="6" t="str">
        <f>INDEX(Données!$F$2:$L$54,MATCH('Portail d''objectifs'!E258,Données!$G$2:$G$54,1),1)</f>
        <v>42</v>
      </c>
      <c r="G258" s="18" t="b">
        <f t="shared" si="8"/>
        <v>0</v>
      </c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1"/>
      <c r="W258" s="75"/>
      <c r="X258" s="75"/>
      <c r="Y258" s="75"/>
      <c r="Z258" s="96">
        <f>SUM(Tableau1[[#This Row],[A-1]:[G-5]])</f>
        <v>0</v>
      </c>
      <c r="AA258" s="96" t="str">
        <f>IF(AND(Z258&gt;0,Tableau1[[#This Row],[CDS]]=""),"Oui","Non")</f>
        <v>Non</v>
      </c>
      <c r="AB258" s="75"/>
      <c r="AC258" s="75"/>
      <c r="AD258" s="75"/>
      <c r="AE258" s="75"/>
      <c r="AF258" s="75"/>
      <c r="AG258" s="75"/>
      <c r="AH258" s="75"/>
      <c r="AI258" s="75"/>
      <c r="AJ258" s="81"/>
      <c r="AK258" s="75"/>
      <c r="AL258" s="75"/>
    </row>
    <row r="259" spans="1:38" hidden="1" x14ac:dyDescent="0.25">
      <c r="A259" s="75"/>
      <c r="B259" s="75"/>
      <c r="C259" s="35">
        <f>INDEX(Données!$F$2:$L$54,MATCH(F259,Données!$F$2:$F$54,0),2)</f>
        <v>44116</v>
      </c>
      <c r="D259" s="29" t="str">
        <f t="shared" si="7"/>
        <v>Veuillez inscrire votre nom</v>
      </c>
      <c r="E259" s="7">
        <f>Données!L43</f>
        <v>44121</v>
      </c>
      <c r="F259" s="6" t="str">
        <f>INDEX(Données!$F$2:$L$54,MATCH('Portail d''objectifs'!E259,Données!$G$2:$G$54,1),1)</f>
        <v>42</v>
      </c>
      <c r="G259" s="18" t="b">
        <f t="shared" si="8"/>
        <v>0</v>
      </c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1"/>
      <c r="W259" s="75"/>
      <c r="X259" s="75"/>
      <c r="Y259" s="75"/>
      <c r="Z259" s="96">
        <f>SUM(Tableau1[[#This Row],[A-1]:[G-5]])</f>
        <v>0</v>
      </c>
      <c r="AA259" s="96" t="str">
        <f>IF(AND(Z259&gt;0,Tableau1[[#This Row],[CDS]]=""),"Oui","Non")</f>
        <v>Non</v>
      </c>
      <c r="AB259" s="75"/>
      <c r="AC259" s="75"/>
      <c r="AD259" s="75"/>
      <c r="AE259" s="75"/>
      <c r="AF259" s="75"/>
      <c r="AG259" s="75"/>
      <c r="AH259" s="75"/>
      <c r="AI259" s="75"/>
      <c r="AJ259" s="81"/>
      <c r="AK259" s="75"/>
      <c r="AL259" s="75"/>
    </row>
    <row r="260" spans="1:38" hidden="1" x14ac:dyDescent="0.25">
      <c r="A260" s="75"/>
      <c r="B260" s="75"/>
      <c r="C260" s="35">
        <f>INDEX(Données!$F$2:$L$54,MATCH(F260,Données!$F$2:$F$54,0),2)</f>
        <v>44123</v>
      </c>
      <c r="D260" s="29" t="str">
        <f t="shared" si="7"/>
        <v>Veuillez inscrire votre nom</v>
      </c>
      <c r="E260" s="7">
        <f>Données!G44</f>
        <v>44123</v>
      </c>
      <c r="F260" s="6" t="str">
        <f>INDEX(Données!$F$2:$L$54,MATCH('Portail d''objectifs'!E260,Données!$G$2:$G$54,1),1)</f>
        <v>43</v>
      </c>
      <c r="G260" s="18" t="b">
        <f t="shared" si="8"/>
        <v>0</v>
      </c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1"/>
      <c r="W260" s="75"/>
      <c r="X260" s="75"/>
      <c r="Y260" s="75"/>
      <c r="Z260" s="96">
        <f>SUM(Tableau1[[#This Row],[A-1]:[G-5]])</f>
        <v>0</v>
      </c>
      <c r="AA260" s="96" t="str">
        <f>IF(AND(Z260&gt;0,Tableau1[[#This Row],[CDS]]=""),"Oui","Non")</f>
        <v>Non</v>
      </c>
      <c r="AB260" s="75"/>
      <c r="AC260" s="75"/>
      <c r="AD260" s="75"/>
      <c r="AE260" s="75"/>
      <c r="AF260" s="75"/>
      <c r="AG260" s="75"/>
      <c r="AH260" s="75"/>
      <c r="AI260" s="75"/>
      <c r="AJ260" s="81"/>
      <c r="AK260" s="75"/>
      <c r="AL260" s="75"/>
    </row>
    <row r="261" spans="1:38" hidden="1" x14ac:dyDescent="0.25">
      <c r="A261" s="75"/>
      <c r="B261" s="75"/>
      <c r="C261" s="35">
        <f>INDEX(Données!$F$2:$L$54,MATCH(F261,Données!$F$2:$F$54,0),2)</f>
        <v>44123</v>
      </c>
      <c r="D261" s="29" t="str">
        <f t="shared" si="7"/>
        <v>Veuillez inscrire votre nom</v>
      </c>
      <c r="E261" s="7">
        <f>Données!H44</f>
        <v>44124</v>
      </c>
      <c r="F261" s="6" t="str">
        <f>INDEX(Données!$F$2:$L$54,MATCH('Portail d''objectifs'!E261,Données!$G$2:$G$54,1),1)</f>
        <v>43</v>
      </c>
      <c r="G261" s="18" t="b">
        <f t="shared" si="8"/>
        <v>0</v>
      </c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1"/>
      <c r="W261" s="75"/>
      <c r="X261" s="75"/>
      <c r="Y261" s="75"/>
      <c r="Z261" s="96">
        <f>SUM(Tableau1[[#This Row],[A-1]:[G-5]])</f>
        <v>0</v>
      </c>
      <c r="AA261" s="96" t="str">
        <f>IF(AND(Z261&gt;0,Tableau1[[#This Row],[CDS]]=""),"Oui","Non")</f>
        <v>Non</v>
      </c>
      <c r="AB261" s="75"/>
      <c r="AC261" s="75"/>
      <c r="AD261" s="75"/>
      <c r="AE261" s="75"/>
      <c r="AF261" s="75"/>
      <c r="AG261" s="75"/>
      <c r="AH261" s="75"/>
      <c r="AI261" s="75"/>
      <c r="AJ261" s="81"/>
      <c r="AK261" s="75"/>
      <c r="AL261" s="75"/>
    </row>
    <row r="262" spans="1:38" hidden="1" x14ac:dyDescent="0.25">
      <c r="A262" s="75"/>
      <c r="B262" s="75"/>
      <c r="C262" s="35">
        <f>INDEX(Données!$F$2:$L$54,MATCH(F262,Données!$F$2:$F$54,0),2)</f>
        <v>44123</v>
      </c>
      <c r="D262" s="29" t="str">
        <f t="shared" si="7"/>
        <v>Veuillez inscrire votre nom</v>
      </c>
      <c r="E262" s="7">
        <f>Données!I44</f>
        <v>44125</v>
      </c>
      <c r="F262" s="6" t="str">
        <f>INDEX(Données!$F$2:$L$54,MATCH('Portail d''objectifs'!E262,Données!$G$2:$G$54,1),1)</f>
        <v>43</v>
      </c>
      <c r="G262" s="18" t="b">
        <f t="shared" si="8"/>
        <v>0</v>
      </c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1"/>
      <c r="W262" s="75"/>
      <c r="X262" s="75"/>
      <c r="Y262" s="75"/>
      <c r="Z262" s="96">
        <f>SUM(Tableau1[[#This Row],[A-1]:[G-5]])</f>
        <v>0</v>
      </c>
      <c r="AA262" s="96" t="str">
        <f>IF(AND(Z262&gt;0,Tableau1[[#This Row],[CDS]]=""),"Oui","Non")</f>
        <v>Non</v>
      </c>
      <c r="AB262" s="75"/>
      <c r="AC262" s="75"/>
      <c r="AD262" s="75"/>
      <c r="AE262" s="75"/>
      <c r="AF262" s="75"/>
      <c r="AG262" s="75"/>
      <c r="AH262" s="75"/>
      <c r="AI262" s="75"/>
      <c r="AJ262" s="81"/>
      <c r="AK262" s="75"/>
      <c r="AL262" s="75"/>
    </row>
    <row r="263" spans="1:38" hidden="1" x14ac:dyDescent="0.25">
      <c r="A263" s="75"/>
      <c r="B263" s="75"/>
      <c r="C263" s="35">
        <f>INDEX(Données!$F$2:$L$54,MATCH(F263,Données!$F$2:$F$54,0),2)</f>
        <v>44123</v>
      </c>
      <c r="D263" s="29" t="str">
        <f t="shared" si="7"/>
        <v>Veuillez inscrire votre nom</v>
      </c>
      <c r="E263" s="7">
        <f>Données!J44</f>
        <v>44126</v>
      </c>
      <c r="F263" s="6" t="str">
        <f>INDEX(Données!$F$2:$L$54,MATCH('Portail d''objectifs'!E263,Données!$G$2:$G$54,1),1)</f>
        <v>43</v>
      </c>
      <c r="G263" s="18" t="b">
        <f t="shared" si="8"/>
        <v>0</v>
      </c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1"/>
      <c r="W263" s="75"/>
      <c r="X263" s="75"/>
      <c r="Y263" s="75"/>
      <c r="Z263" s="96">
        <f>SUM(Tableau1[[#This Row],[A-1]:[G-5]])</f>
        <v>0</v>
      </c>
      <c r="AA263" s="96" t="str">
        <f>IF(AND(Z263&gt;0,Tableau1[[#This Row],[CDS]]=""),"Oui","Non")</f>
        <v>Non</v>
      </c>
      <c r="AB263" s="75"/>
      <c r="AC263" s="75"/>
      <c r="AD263" s="75"/>
      <c r="AE263" s="75"/>
      <c r="AF263" s="75"/>
      <c r="AG263" s="75"/>
      <c r="AH263" s="75"/>
      <c r="AI263" s="75"/>
      <c r="AJ263" s="81"/>
      <c r="AK263" s="75"/>
      <c r="AL263" s="75"/>
    </row>
    <row r="264" spans="1:38" hidden="1" x14ac:dyDescent="0.25">
      <c r="A264" s="75"/>
      <c r="B264" s="75"/>
      <c r="C264" s="35">
        <f>INDEX(Données!$F$2:$L$54,MATCH(F264,Données!$F$2:$F$54,0),2)</f>
        <v>44123</v>
      </c>
      <c r="D264" s="29" t="str">
        <f t="shared" ref="D264:D325" si="9">$E$4</f>
        <v>Veuillez inscrire votre nom</v>
      </c>
      <c r="E264" s="7">
        <f>Données!K44</f>
        <v>44127</v>
      </c>
      <c r="F264" s="6" t="str">
        <f>INDEX(Données!$F$2:$L$54,MATCH('Portail d''objectifs'!E264,Données!$G$2:$G$54,1),1)</f>
        <v>43</v>
      </c>
      <c r="G264" s="18" t="b">
        <f t="shared" ref="G264:G325" si="10">IF(AND($V$5=1),"PS-1",IF(AND($V$5=2),"PS-2",IF(AND($V$5=4),"PS-4",IF(AND($V$5=6),"S.O.",IF(AND($V$5=5),"")))))</f>
        <v>0</v>
      </c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1"/>
      <c r="W264" s="75"/>
      <c r="X264" s="75"/>
      <c r="Y264" s="75"/>
      <c r="Z264" s="96">
        <f>SUM(Tableau1[[#This Row],[A-1]:[G-5]])</f>
        <v>0</v>
      </c>
      <c r="AA264" s="96" t="str">
        <f>IF(AND(Z264&gt;0,Tableau1[[#This Row],[CDS]]=""),"Oui","Non")</f>
        <v>Non</v>
      </c>
      <c r="AB264" s="75"/>
      <c r="AC264" s="75"/>
      <c r="AD264" s="75"/>
      <c r="AE264" s="75"/>
      <c r="AF264" s="75"/>
      <c r="AG264" s="75"/>
      <c r="AH264" s="75"/>
      <c r="AI264" s="75"/>
      <c r="AJ264" s="81"/>
      <c r="AK264" s="75"/>
      <c r="AL264" s="75"/>
    </row>
    <row r="265" spans="1:38" hidden="1" x14ac:dyDescent="0.25">
      <c r="A265" s="75"/>
      <c r="B265" s="75"/>
      <c r="C265" s="35">
        <f>INDEX(Données!$F$2:$L$54,MATCH(F265,Données!$F$2:$F$54,0),2)</f>
        <v>44123</v>
      </c>
      <c r="D265" s="29" t="str">
        <f t="shared" si="9"/>
        <v>Veuillez inscrire votre nom</v>
      </c>
      <c r="E265" s="7">
        <f>Données!L44</f>
        <v>44128</v>
      </c>
      <c r="F265" s="6" t="str">
        <f>INDEX(Données!$F$2:$L$54,MATCH('Portail d''objectifs'!E265,Données!$G$2:$G$54,1),1)</f>
        <v>43</v>
      </c>
      <c r="G265" s="18" t="b">
        <f t="shared" si="10"/>
        <v>0</v>
      </c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1"/>
      <c r="W265" s="75"/>
      <c r="X265" s="75"/>
      <c r="Y265" s="75"/>
      <c r="Z265" s="96">
        <f>SUM(Tableau1[[#This Row],[A-1]:[G-5]])</f>
        <v>0</v>
      </c>
      <c r="AA265" s="96" t="str">
        <f>IF(AND(Z265&gt;0,Tableau1[[#This Row],[CDS]]=""),"Oui","Non")</f>
        <v>Non</v>
      </c>
      <c r="AB265" s="75"/>
      <c r="AC265" s="75"/>
      <c r="AD265" s="75"/>
      <c r="AE265" s="75"/>
      <c r="AF265" s="75"/>
      <c r="AG265" s="75"/>
      <c r="AH265" s="75"/>
      <c r="AI265" s="75"/>
      <c r="AJ265" s="81"/>
      <c r="AK265" s="75"/>
      <c r="AL265" s="75"/>
    </row>
    <row r="266" spans="1:38" hidden="1" x14ac:dyDescent="0.25">
      <c r="A266" s="75"/>
      <c r="B266" s="75"/>
      <c r="C266" s="35">
        <f>INDEX(Données!$F$2:$L$54,MATCH(F266,Données!$F$2:$F$54,0),2)</f>
        <v>44130</v>
      </c>
      <c r="D266" s="29" t="str">
        <f t="shared" si="9"/>
        <v>Veuillez inscrire votre nom</v>
      </c>
      <c r="E266" s="7">
        <f>Données!G45</f>
        <v>44130</v>
      </c>
      <c r="F266" s="6" t="str">
        <f>INDEX(Données!$F$2:$L$54,MATCH('Portail d''objectifs'!E266,Données!$G$2:$G$54,1),1)</f>
        <v>44</v>
      </c>
      <c r="G266" s="18" t="b">
        <f t="shared" si="10"/>
        <v>0</v>
      </c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1"/>
      <c r="W266" s="75"/>
      <c r="X266" s="75"/>
      <c r="Y266" s="75"/>
      <c r="Z266" s="96">
        <f>SUM(Tableau1[[#This Row],[A-1]:[G-5]])</f>
        <v>0</v>
      </c>
      <c r="AA266" s="96" t="str">
        <f>IF(AND(Z266&gt;0,Tableau1[[#This Row],[CDS]]=""),"Oui","Non")</f>
        <v>Non</v>
      </c>
      <c r="AB266" s="75"/>
      <c r="AC266" s="75"/>
      <c r="AD266" s="75"/>
      <c r="AE266" s="75"/>
      <c r="AF266" s="75"/>
      <c r="AG266" s="75"/>
      <c r="AH266" s="75"/>
      <c r="AI266" s="75"/>
      <c r="AJ266" s="81"/>
      <c r="AK266" s="75"/>
      <c r="AL266" s="75"/>
    </row>
    <row r="267" spans="1:38" hidden="1" x14ac:dyDescent="0.25">
      <c r="A267" s="75"/>
      <c r="B267" s="75"/>
      <c r="C267" s="35">
        <f>INDEX(Données!$F$2:$L$54,MATCH(F267,Données!$F$2:$F$54,0),2)</f>
        <v>44130</v>
      </c>
      <c r="D267" s="29" t="str">
        <f t="shared" si="9"/>
        <v>Veuillez inscrire votre nom</v>
      </c>
      <c r="E267" s="7">
        <f>Données!H45</f>
        <v>44131</v>
      </c>
      <c r="F267" s="6" t="str">
        <f>INDEX(Données!$F$2:$L$54,MATCH('Portail d''objectifs'!E267,Données!$G$2:$G$54,1),1)</f>
        <v>44</v>
      </c>
      <c r="G267" s="18" t="b">
        <f t="shared" si="10"/>
        <v>0</v>
      </c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1"/>
      <c r="W267" s="75"/>
      <c r="X267" s="75"/>
      <c r="Y267" s="75"/>
      <c r="Z267" s="96">
        <f>SUM(Tableau1[[#This Row],[A-1]:[G-5]])</f>
        <v>0</v>
      </c>
      <c r="AA267" s="96" t="str">
        <f>IF(AND(Z267&gt;0,Tableau1[[#This Row],[CDS]]=""),"Oui","Non")</f>
        <v>Non</v>
      </c>
      <c r="AB267" s="75"/>
      <c r="AC267" s="75"/>
      <c r="AD267" s="75"/>
      <c r="AE267" s="75"/>
      <c r="AF267" s="75"/>
      <c r="AG267" s="75"/>
      <c r="AH267" s="75"/>
      <c r="AI267" s="75"/>
      <c r="AJ267" s="81"/>
      <c r="AK267" s="75"/>
      <c r="AL267" s="75"/>
    </row>
    <row r="268" spans="1:38" hidden="1" x14ac:dyDescent="0.25">
      <c r="A268" s="75"/>
      <c r="B268" s="75"/>
      <c r="C268" s="35">
        <f>INDEX(Données!$F$2:$L$54,MATCH(F268,Données!$F$2:$F$54,0),2)</f>
        <v>44130</v>
      </c>
      <c r="D268" s="29" t="str">
        <f t="shared" si="9"/>
        <v>Veuillez inscrire votre nom</v>
      </c>
      <c r="E268" s="7">
        <f>Données!I45</f>
        <v>44132</v>
      </c>
      <c r="F268" s="6" t="str">
        <f>INDEX(Données!$F$2:$L$54,MATCH('Portail d''objectifs'!E268,Données!$G$2:$G$54,1),1)</f>
        <v>44</v>
      </c>
      <c r="G268" s="18" t="b">
        <f t="shared" si="10"/>
        <v>0</v>
      </c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1"/>
      <c r="W268" s="75"/>
      <c r="X268" s="75"/>
      <c r="Y268" s="75"/>
      <c r="Z268" s="96">
        <f>SUM(Tableau1[[#This Row],[A-1]:[G-5]])</f>
        <v>0</v>
      </c>
      <c r="AA268" s="96" t="str">
        <f>IF(AND(Z268&gt;0,Tableau1[[#This Row],[CDS]]=""),"Oui","Non")</f>
        <v>Non</v>
      </c>
      <c r="AB268" s="75"/>
      <c r="AC268" s="75"/>
      <c r="AD268" s="75"/>
      <c r="AE268" s="75"/>
      <c r="AF268" s="75"/>
      <c r="AG268" s="75"/>
      <c r="AH268" s="75"/>
      <c r="AI268" s="75"/>
      <c r="AJ268" s="81"/>
      <c r="AK268" s="75"/>
      <c r="AL268" s="75"/>
    </row>
    <row r="269" spans="1:38" hidden="1" x14ac:dyDescent="0.25">
      <c r="A269" s="75"/>
      <c r="B269" s="75"/>
      <c r="C269" s="35">
        <f>INDEX(Données!$F$2:$L$54,MATCH(F269,Données!$F$2:$F$54,0),2)</f>
        <v>44130</v>
      </c>
      <c r="D269" s="29" t="str">
        <f t="shared" si="9"/>
        <v>Veuillez inscrire votre nom</v>
      </c>
      <c r="E269" s="7">
        <f>Données!J45</f>
        <v>44133</v>
      </c>
      <c r="F269" s="6" t="str">
        <f>INDEX(Données!$F$2:$L$54,MATCH('Portail d''objectifs'!E269,Données!$G$2:$G$54,1),1)</f>
        <v>44</v>
      </c>
      <c r="G269" s="18" t="b">
        <f t="shared" si="10"/>
        <v>0</v>
      </c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1"/>
      <c r="W269" s="75"/>
      <c r="X269" s="75"/>
      <c r="Y269" s="75"/>
      <c r="Z269" s="96">
        <f>SUM(Tableau1[[#This Row],[A-1]:[G-5]])</f>
        <v>0</v>
      </c>
      <c r="AA269" s="96" t="str">
        <f>IF(AND(Z269&gt;0,Tableau1[[#This Row],[CDS]]=""),"Oui","Non")</f>
        <v>Non</v>
      </c>
      <c r="AB269" s="75"/>
      <c r="AC269" s="75"/>
      <c r="AD269" s="75"/>
      <c r="AE269" s="75"/>
      <c r="AF269" s="75"/>
      <c r="AG269" s="75"/>
      <c r="AH269" s="75"/>
      <c r="AI269" s="75"/>
      <c r="AJ269" s="81"/>
      <c r="AK269" s="75"/>
      <c r="AL269" s="75"/>
    </row>
    <row r="270" spans="1:38" hidden="1" x14ac:dyDescent="0.25">
      <c r="A270" s="75"/>
      <c r="B270" s="75"/>
      <c r="C270" s="35">
        <f>INDEX(Données!$F$2:$L$54,MATCH(F270,Données!$F$2:$F$54,0),2)</f>
        <v>44130</v>
      </c>
      <c r="D270" s="29" t="str">
        <f t="shared" si="9"/>
        <v>Veuillez inscrire votre nom</v>
      </c>
      <c r="E270" s="7">
        <f>Données!K45</f>
        <v>44134</v>
      </c>
      <c r="F270" s="6" t="str">
        <f>INDEX(Données!$F$2:$L$54,MATCH('Portail d''objectifs'!E270,Données!$G$2:$G$54,1),1)</f>
        <v>44</v>
      </c>
      <c r="G270" s="18" t="b">
        <f t="shared" si="10"/>
        <v>0</v>
      </c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1"/>
      <c r="W270" s="75"/>
      <c r="X270" s="75"/>
      <c r="Y270" s="75"/>
      <c r="Z270" s="96">
        <f>SUM(Tableau1[[#This Row],[A-1]:[G-5]])</f>
        <v>0</v>
      </c>
      <c r="AA270" s="96" t="str">
        <f>IF(AND(Z270&gt;0,Tableau1[[#This Row],[CDS]]=""),"Oui","Non")</f>
        <v>Non</v>
      </c>
      <c r="AB270" s="75"/>
      <c r="AC270" s="75"/>
      <c r="AD270" s="75"/>
      <c r="AE270" s="75"/>
      <c r="AF270" s="75"/>
      <c r="AG270" s="75"/>
      <c r="AH270" s="75"/>
      <c r="AI270" s="75"/>
      <c r="AJ270" s="81"/>
      <c r="AK270" s="75"/>
      <c r="AL270" s="75"/>
    </row>
    <row r="271" spans="1:38" hidden="1" x14ac:dyDescent="0.25">
      <c r="A271" s="75"/>
      <c r="B271" s="75"/>
      <c r="C271" s="35">
        <f>INDEX(Données!$F$2:$L$54,MATCH(F271,Données!$F$2:$F$54,0),2)</f>
        <v>44130</v>
      </c>
      <c r="D271" s="29" t="str">
        <f t="shared" si="9"/>
        <v>Veuillez inscrire votre nom</v>
      </c>
      <c r="E271" s="7">
        <f>Données!L45</f>
        <v>44135</v>
      </c>
      <c r="F271" s="6" t="str">
        <f>INDEX(Données!$F$2:$L$54,MATCH('Portail d''objectifs'!E271,Données!$G$2:$G$54,1),1)</f>
        <v>44</v>
      </c>
      <c r="G271" s="18" t="b">
        <f t="shared" si="10"/>
        <v>0</v>
      </c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1"/>
      <c r="W271" s="75"/>
      <c r="X271" s="75"/>
      <c r="Y271" s="75"/>
      <c r="Z271" s="96">
        <f>SUM(Tableau1[[#This Row],[A-1]:[G-5]])</f>
        <v>0</v>
      </c>
      <c r="AA271" s="96" t="str">
        <f>IF(AND(Z271&gt;0,Tableau1[[#This Row],[CDS]]=""),"Oui","Non")</f>
        <v>Non</v>
      </c>
      <c r="AB271" s="75"/>
      <c r="AC271" s="75"/>
      <c r="AD271" s="75"/>
      <c r="AE271" s="75"/>
      <c r="AF271" s="75"/>
      <c r="AG271" s="75"/>
      <c r="AH271" s="75"/>
      <c r="AI271" s="75"/>
      <c r="AJ271" s="81"/>
      <c r="AK271" s="75"/>
      <c r="AL271" s="75"/>
    </row>
    <row r="272" spans="1:38" hidden="1" x14ac:dyDescent="0.25">
      <c r="A272" s="75"/>
      <c r="B272" s="75"/>
      <c r="C272" s="35">
        <f>INDEX(Données!$F$2:$L$54,MATCH(F272,Données!$F$2:$F$54,0),2)</f>
        <v>44137</v>
      </c>
      <c r="D272" s="29" t="str">
        <f t="shared" si="9"/>
        <v>Veuillez inscrire votre nom</v>
      </c>
      <c r="E272" s="7">
        <f>Données!G46</f>
        <v>44137</v>
      </c>
      <c r="F272" s="6" t="str">
        <f>INDEX(Données!$F$2:$L$54,MATCH('Portail d''objectifs'!E272,Données!$G$2:$G$54,1),1)</f>
        <v>45</v>
      </c>
      <c r="G272" s="18" t="b">
        <f t="shared" si="10"/>
        <v>0</v>
      </c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1"/>
      <c r="W272" s="75"/>
      <c r="X272" s="75"/>
      <c r="Y272" s="75"/>
      <c r="Z272" s="96">
        <f>SUM(Tableau1[[#This Row],[A-1]:[G-5]])</f>
        <v>0</v>
      </c>
      <c r="AA272" s="96" t="str">
        <f>IF(AND(Z272&gt;0,Tableau1[[#This Row],[CDS]]=""),"Oui","Non")</f>
        <v>Non</v>
      </c>
      <c r="AB272" s="75"/>
      <c r="AC272" s="75"/>
      <c r="AD272" s="75"/>
      <c r="AE272" s="75"/>
      <c r="AF272" s="75"/>
      <c r="AG272" s="75"/>
      <c r="AH272" s="75"/>
      <c r="AI272" s="75"/>
      <c r="AJ272" s="81"/>
      <c r="AK272" s="75"/>
      <c r="AL272" s="75"/>
    </row>
    <row r="273" spans="1:38" hidden="1" x14ac:dyDescent="0.25">
      <c r="A273" s="75"/>
      <c r="B273" s="75"/>
      <c r="C273" s="35">
        <f>INDEX(Données!$F$2:$L$54,MATCH(F273,Données!$F$2:$F$54,0),2)</f>
        <v>44137</v>
      </c>
      <c r="D273" s="29" t="str">
        <f t="shared" si="9"/>
        <v>Veuillez inscrire votre nom</v>
      </c>
      <c r="E273" s="7">
        <f>Données!H46</f>
        <v>44138</v>
      </c>
      <c r="F273" s="6" t="str">
        <f>INDEX(Données!$F$2:$L$54,MATCH('Portail d''objectifs'!E273,Données!$G$2:$G$54,1),1)</f>
        <v>45</v>
      </c>
      <c r="G273" s="18" t="b">
        <f t="shared" si="10"/>
        <v>0</v>
      </c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1"/>
      <c r="W273" s="75"/>
      <c r="X273" s="75"/>
      <c r="Y273" s="75"/>
      <c r="Z273" s="96">
        <f>SUM(Tableau1[[#This Row],[A-1]:[G-5]])</f>
        <v>0</v>
      </c>
      <c r="AA273" s="96" t="str">
        <f>IF(AND(Z273&gt;0,Tableau1[[#This Row],[CDS]]=""),"Oui","Non")</f>
        <v>Non</v>
      </c>
      <c r="AB273" s="75"/>
      <c r="AC273" s="75"/>
      <c r="AD273" s="75"/>
      <c r="AE273" s="75"/>
      <c r="AF273" s="75"/>
      <c r="AG273" s="75"/>
      <c r="AH273" s="75"/>
      <c r="AI273" s="75"/>
      <c r="AJ273" s="81"/>
      <c r="AK273" s="75"/>
      <c r="AL273" s="75"/>
    </row>
    <row r="274" spans="1:38" hidden="1" x14ac:dyDescent="0.25">
      <c r="A274" s="75"/>
      <c r="B274" s="75"/>
      <c r="C274" s="35">
        <f>INDEX(Données!$F$2:$L$54,MATCH(F274,Données!$F$2:$F$54,0),2)</f>
        <v>44137</v>
      </c>
      <c r="D274" s="29" t="str">
        <f t="shared" si="9"/>
        <v>Veuillez inscrire votre nom</v>
      </c>
      <c r="E274" s="7">
        <f>Données!I46</f>
        <v>44139</v>
      </c>
      <c r="F274" s="6" t="str">
        <f>INDEX(Données!$F$2:$L$54,MATCH('Portail d''objectifs'!E274,Données!$G$2:$G$54,1),1)</f>
        <v>45</v>
      </c>
      <c r="G274" s="18" t="b">
        <f t="shared" si="10"/>
        <v>0</v>
      </c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1"/>
      <c r="W274" s="75"/>
      <c r="X274" s="75"/>
      <c r="Y274" s="75"/>
      <c r="Z274" s="96">
        <f>SUM(Tableau1[[#This Row],[A-1]:[G-5]])</f>
        <v>0</v>
      </c>
      <c r="AA274" s="96" t="str">
        <f>IF(AND(Z274&gt;0,Tableau1[[#This Row],[CDS]]=""),"Oui","Non")</f>
        <v>Non</v>
      </c>
      <c r="AB274" s="75"/>
      <c r="AC274" s="75"/>
      <c r="AD274" s="75"/>
      <c r="AE274" s="75"/>
      <c r="AF274" s="75"/>
      <c r="AG274" s="75"/>
      <c r="AH274" s="75"/>
      <c r="AI274" s="75"/>
      <c r="AJ274" s="81"/>
      <c r="AK274" s="75"/>
      <c r="AL274" s="75"/>
    </row>
    <row r="275" spans="1:38" hidden="1" x14ac:dyDescent="0.25">
      <c r="A275" s="75"/>
      <c r="B275" s="75"/>
      <c r="C275" s="35">
        <f>INDEX(Données!$F$2:$L$54,MATCH(F275,Données!$F$2:$F$54,0),2)</f>
        <v>44137</v>
      </c>
      <c r="D275" s="29" t="str">
        <f t="shared" si="9"/>
        <v>Veuillez inscrire votre nom</v>
      </c>
      <c r="E275" s="7">
        <f>Données!J46</f>
        <v>44140</v>
      </c>
      <c r="F275" s="6" t="str">
        <f>INDEX(Données!$F$2:$L$54,MATCH('Portail d''objectifs'!E275,Données!$G$2:$G$54,1),1)</f>
        <v>45</v>
      </c>
      <c r="G275" s="18" t="b">
        <f t="shared" si="10"/>
        <v>0</v>
      </c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1"/>
      <c r="W275" s="75"/>
      <c r="X275" s="75"/>
      <c r="Y275" s="75"/>
      <c r="Z275" s="96">
        <f>SUM(Tableau1[[#This Row],[A-1]:[G-5]])</f>
        <v>0</v>
      </c>
      <c r="AA275" s="96" t="str">
        <f>IF(AND(Z275&gt;0,Tableau1[[#This Row],[CDS]]=""),"Oui","Non")</f>
        <v>Non</v>
      </c>
      <c r="AB275" s="75"/>
      <c r="AC275" s="75"/>
      <c r="AD275" s="75"/>
      <c r="AE275" s="75"/>
      <c r="AF275" s="75"/>
      <c r="AG275" s="75"/>
      <c r="AH275" s="75"/>
      <c r="AI275" s="75"/>
      <c r="AJ275" s="81"/>
      <c r="AK275" s="75"/>
      <c r="AL275" s="75"/>
    </row>
    <row r="276" spans="1:38" hidden="1" x14ac:dyDescent="0.25">
      <c r="A276" s="75"/>
      <c r="B276" s="75"/>
      <c r="C276" s="35">
        <f>INDEX(Données!$F$2:$L$54,MATCH(F276,Données!$F$2:$F$54,0),2)</f>
        <v>44137</v>
      </c>
      <c r="D276" s="29" t="str">
        <f t="shared" si="9"/>
        <v>Veuillez inscrire votre nom</v>
      </c>
      <c r="E276" s="7">
        <f>Données!K46</f>
        <v>44141</v>
      </c>
      <c r="F276" s="6" t="str">
        <f>INDEX(Données!$F$2:$L$54,MATCH('Portail d''objectifs'!E276,Données!$G$2:$G$54,1),1)</f>
        <v>45</v>
      </c>
      <c r="G276" s="18" t="b">
        <f t="shared" si="10"/>
        <v>0</v>
      </c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1"/>
      <c r="W276" s="75"/>
      <c r="X276" s="75"/>
      <c r="Y276" s="75"/>
      <c r="Z276" s="96">
        <f>SUM(Tableau1[[#This Row],[A-1]:[G-5]])</f>
        <v>0</v>
      </c>
      <c r="AA276" s="96" t="str">
        <f>IF(AND(Z276&gt;0,Tableau1[[#This Row],[CDS]]=""),"Oui","Non")</f>
        <v>Non</v>
      </c>
      <c r="AB276" s="75"/>
      <c r="AC276" s="75"/>
      <c r="AD276" s="75"/>
      <c r="AE276" s="75"/>
      <c r="AF276" s="75"/>
      <c r="AG276" s="75"/>
      <c r="AH276" s="75"/>
      <c r="AI276" s="75"/>
      <c r="AJ276" s="81"/>
      <c r="AK276" s="75"/>
      <c r="AL276" s="75"/>
    </row>
    <row r="277" spans="1:38" hidden="1" x14ac:dyDescent="0.25">
      <c r="A277" s="75"/>
      <c r="B277" s="75"/>
      <c r="C277" s="35">
        <f>INDEX(Données!$F$2:$L$54,MATCH(F277,Données!$F$2:$F$54,0),2)</f>
        <v>44137</v>
      </c>
      <c r="D277" s="29" t="str">
        <f t="shared" si="9"/>
        <v>Veuillez inscrire votre nom</v>
      </c>
      <c r="E277" s="7">
        <f>Données!L46</f>
        <v>44142</v>
      </c>
      <c r="F277" s="6" t="str">
        <f>INDEX(Données!$F$2:$L$54,MATCH('Portail d''objectifs'!E277,Données!$G$2:$G$54,1),1)</f>
        <v>45</v>
      </c>
      <c r="G277" s="18" t="b">
        <f t="shared" si="10"/>
        <v>0</v>
      </c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1"/>
      <c r="W277" s="75"/>
      <c r="X277" s="75"/>
      <c r="Y277" s="75"/>
      <c r="Z277" s="96">
        <f>SUM(Tableau1[[#This Row],[A-1]:[G-5]])</f>
        <v>0</v>
      </c>
      <c r="AA277" s="96" t="str">
        <f>IF(AND(Z277&gt;0,Tableau1[[#This Row],[CDS]]=""),"Oui","Non")</f>
        <v>Non</v>
      </c>
      <c r="AB277" s="75"/>
      <c r="AC277" s="75"/>
      <c r="AD277" s="75"/>
      <c r="AE277" s="75"/>
      <c r="AF277" s="75"/>
      <c r="AG277" s="75"/>
      <c r="AH277" s="75"/>
      <c r="AI277" s="75"/>
      <c r="AJ277" s="81"/>
      <c r="AK277" s="75"/>
      <c r="AL277" s="75"/>
    </row>
    <row r="278" spans="1:38" hidden="1" x14ac:dyDescent="0.25">
      <c r="A278" s="75"/>
      <c r="B278" s="75"/>
      <c r="C278" s="35">
        <f>INDEX(Données!$F$2:$L$54,MATCH(F278,Données!$F$2:$F$54,0),2)</f>
        <v>44144</v>
      </c>
      <c r="D278" s="29" t="str">
        <f t="shared" si="9"/>
        <v>Veuillez inscrire votre nom</v>
      </c>
      <c r="E278" s="7">
        <f>Données!G47</f>
        <v>44144</v>
      </c>
      <c r="F278" s="6" t="str">
        <f>INDEX(Données!$F$2:$L$54,MATCH('Portail d''objectifs'!E278,Données!$G$2:$G$54,1),1)</f>
        <v>46</v>
      </c>
      <c r="G278" s="18" t="b">
        <f t="shared" si="10"/>
        <v>0</v>
      </c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1"/>
      <c r="W278" s="75"/>
      <c r="X278" s="75"/>
      <c r="Y278" s="75"/>
      <c r="Z278" s="96">
        <f>SUM(Tableau1[[#This Row],[A-1]:[G-5]])</f>
        <v>0</v>
      </c>
      <c r="AA278" s="96" t="str">
        <f>IF(AND(Z278&gt;0,Tableau1[[#This Row],[CDS]]=""),"Oui","Non")</f>
        <v>Non</v>
      </c>
      <c r="AB278" s="75"/>
      <c r="AC278" s="75"/>
      <c r="AD278" s="75"/>
      <c r="AE278" s="75"/>
      <c r="AF278" s="75"/>
      <c r="AG278" s="75"/>
      <c r="AH278" s="75"/>
      <c r="AI278" s="75"/>
      <c r="AJ278" s="81"/>
      <c r="AK278" s="75"/>
      <c r="AL278" s="75"/>
    </row>
    <row r="279" spans="1:38" hidden="1" x14ac:dyDescent="0.25">
      <c r="A279" s="75"/>
      <c r="B279" s="75"/>
      <c r="C279" s="35">
        <f>INDEX(Données!$F$2:$L$54,MATCH(F279,Données!$F$2:$F$54,0),2)</f>
        <v>44144</v>
      </c>
      <c r="D279" s="29" t="str">
        <f t="shared" si="9"/>
        <v>Veuillez inscrire votre nom</v>
      </c>
      <c r="E279" s="7">
        <f>Données!H47</f>
        <v>44145</v>
      </c>
      <c r="F279" s="6" t="str">
        <f>INDEX(Données!$F$2:$L$54,MATCH('Portail d''objectifs'!E279,Données!$G$2:$G$54,1),1)</f>
        <v>46</v>
      </c>
      <c r="G279" s="18" t="b">
        <f t="shared" si="10"/>
        <v>0</v>
      </c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1"/>
      <c r="W279" s="75"/>
      <c r="X279" s="75"/>
      <c r="Y279" s="75"/>
      <c r="Z279" s="96">
        <f>SUM(Tableau1[[#This Row],[A-1]:[G-5]])</f>
        <v>0</v>
      </c>
      <c r="AA279" s="96" t="str">
        <f>IF(AND(Z279&gt;0,Tableau1[[#This Row],[CDS]]=""),"Oui","Non")</f>
        <v>Non</v>
      </c>
      <c r="AB279" s="75"/>
      <c r="AC279" s="75"/>
      <c r="AD279" s="75"/>
      <c r="AE279" s="75"/>
      <c r="AF279" s="75"/>
      <c r="AG279" s="75"/>
      <c r="AH279" s="75"/>
      <c r="AI279" s="75"/>
      <c r="AJ279" s="81"/>
      <c r="AK279" s="75"/>
      <c r="AL279" s="75"/>
    </row>
    <row r="280" spans="1:38" hidden="1" x14ac:dyDescent="0.25">
      <c r="A280" s="75"/>
      <c r="B280" s="75"/>
      <c r="C280" s="35">
        <f>INDEX(Données!$F$2:$L$54,MATCH(F280,Données!$F$2:$F$54,0),2)</f>
        <v>44144</v>
      </c>
      <c r="D280" s="29" t="str">
        <f t="shared" si="9"/>
        <v>Veuillez inscrire votre nom</v>
      </c>
      <c r="E280" s="7">
        <f>Données!I47</f>
        <v>44146</v>
      </c>
      <c r="F280" s="6" t="str">
        <f>INDEX(Données!$F$2:$L$54,MATCH('Portail d''objectifs'!E280,Données!$G$2:$G$54,1),1)</f>
        <v>46</v>
      </c>
      <c r="G280" s="18" t="b">
        <f t="shared" si="10"/>
        <v>0</v>
      </c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1"/>
      <c r="W280" s="75"/>
      <c r="X280" s="75"/>
      <c r="Y280" s="75"/>
      <c r="Z280" s="96">
        <f>SUM(Tableau1[[#This Row],[A-1]:[G-5]])</f>
        <v>0</v>
      </c>
      <c r="AA280" s="96" t="str">
        <f>IF(AND(Z280&gt;0,Tableau1[[#This Row],[CDS]]=""),"Oui","Non")</f>
        <v>Non</v>
      </c>
      <c r="AB280" s="75"/>
      <c r="AC280" s="75"/>
      <c r="AD280" s="75"/>
      <c r="AE280" s="75"/>
      <c r="AF280" s="75"/>
      <c r="AG280" s="75"/>
      <c r="AH280" s="75"/>
      <c r="AI280" s="75"/>
      <c r="AJ280" s="81"/>
      <c r="AK280" s="75"/>
      <c r="AL280" s="75"/>
    </row>
    <row r="281" spans="1:38" hidden="1" x14ac:dyDescent="0.25">
      <c r="A281" s="75"/>
      <c r="B281" s="75"/>
      <c r="C281" s="35">
        <f>INDEX(Données!$F$2:$L$54,MATCH(F281,Données!$F$2:$F$54,0),2)</f>
        <v>44144</v>
      </c>
      <c r="D281" s="29" t="str">
        <f t="shared" si="9"/>
        <v>Veuillez inscrire votre nom</v>
      </c>
      <c r="E281" s="7">
        <f>Données!J47</f>
        <v>44147</v>
      </c>
      <c r="F281" s="6" t="str">
        <f>INDEX(Données!$F$2:$L$54,MATCH('Portail d''objectifs'!E281,Données!$G$2:$G$54,1),1)</f>
        <v>46</v>
      </c>
      <c r="G281" s="18" t="b">
        <f t="shared" si="10"/>
        <v>0</v>
      </c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1"/>
      <c r="W281" s="75"/>
      <c r="X281" s="75"/>
      <c r="Y281" s="75"/>
      <c r="Z281" s="96">
        <f>SUM(Tableau1[[#This Row],[A-1]:[G-5]])</f>
        <v>0</v>
      </c>
      <c r="AA281" s="96" t="str">
        <f>IF(AND(Z281&gt;0,Tableau1[[#This Row],[CDS]]=""),"Oui","Non")</f>
        <v>Non</v>
      </c>
      <c r="AB281" s="75"/>
      <c r="AC281" s="75"/>
      <c r="AD281" s="75"/>
      <c r="AE281" s="75"/>
      <c r="AF281" s="75"/>
      <c r="AG281" s="75"/>
      <c r="AH281" s="75"/>
      <c r="AI281" s="75"/>
      <c r="AJ281" s="81"/>
      <c r="AK281" s="75"/>
      <c r="AL281" s="75"/>
    </row>
    <row r="282" spans="1:38" hidden="1" x14ac:dyDescent="0.25">
      <c r="A282" s="75"/>
      <c r="B282" s="75"/>
      <c r="C282" s="35">
        <f>INDEX(Données!$F$2:$L$54,MATCH(F282,Données!$F$2:$F$54,0),2)</f>
        <v>44144</v>
      </c>
      <c r="D282" s="29" t="str">
        <f t="shared" si="9"/>
        <v>Veuillez inscrire votre nom</v>
      </c>
      <c r="E282" s="7">
        <f>Données!K47</f>
        <v>44148</v>
      </c>
      <c r="F282" s="6" t="str">
        <f>INDEX(Données!$F$2:$L$54,MATCH('Portail d''objectifs'!E282,Données!$G$2:$G$54,1),1)</f>
        <v>46</v>
      </c>
      <c r="G282" s="18" t="b">
        <f t="shared" si="10"/>
        <v>0</v>
      </c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1"/>
      <c r="W282" s="75"/>
      <c r="X282" s="75"/>
      <c r="Y282" s="75"/>
      <c r="Z282" s="96">
        <f>SUM(Tableau1[[#This Row],[A-1]:[G-5]])</f>
        <v>0</v>
      </c>
      <c r="AA282" s="96" t="str">
        <f>IF(AND(Z282&gt;0,Tableau1[[#This Row],[CDS]]=""),"Oui","Non")</f>
        <v>Non</v>
      </c>
      <c r="AB282" s="75"/>
      <c r="AC282" s="75"/>
      <c r="AD282" s="75"/>
      <c r="AE282" s="75"/>
      <c r="AF282" s="75"/>
      <c r="AG282" s="75"/>
      <c r="AH282" s="75"/>
      <c r="AI282" s="75"/>
      <c r="AJ282" s="81"/>
      <c r="AK282" s="75"/>
      <c r="AL282" s="75"/>
    </row>
    <row r="283" spans="1:38" hidden="1" x14ac:dyDescent="0.25">
      <c r="A283" s="75"/>
      <c r="B283" s="75"/>
      <c r="C283" s="35">
        <f>INDEX(Données!$F$2:$L$54,MATCH(F283,Données!$F$2:$F$54,0),2)</f>
        <v>44144</v>
      </c>
      <c r="D283" s="29" t="str">
        <f t="shared" si="9"/>
        <v>Veuillez inscrire votre nom</v>
      </c>
      <c r="E283" s="7">
        <f>Données!L47</f>
        <v>44149</v>
      </c>
      <c r="F283" s="6" t="str">
        <f>INDEX(Données!$F$2:$L$54,MATCH('Portail d''objectifs'!E283,Données!$G$2:$G$54,1),1)</f>
        <v>46</v>
      </c>
      <c r="G283" s="18" t="b">
        <f t="shared" si="10"/>
        <v>0</v>
      </c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1"/>
      <c r="W283" s="75"/>
      <c r="X283" s="75"/>
      <c r="Y283" s="75"/>
      <c r="Z283" s="96">
        <f>SUM(Tableau1[[#This Row],[A-1]:[G-5]])</f>
        <v>0</v>
      </c>
      <c r="AA283" s="96" t="str">
        <f>IF(AND(Z283&gt;0,Tableau1[[#This Row],[CDS]]=""),"Oui","Non")</f>
        <v>Non</v>
      </c>
      <c r="AB283" s="75"/>
      <c r="AC283" s="75"/>
      <c r="AD283" s="75"/>
      <c r="AE283" s="75"/>
      <c r="AF283" s="75"/>
      <c r="AG283" s="75"/>
      <c r="AH283" s="75"/>
      <c r="AI283" s="75"/>
      <c r="AJ283" s="81"/>
      <c r="AK283" s="75"/>
      <c r="AL283" s="75"/>
    </row>
    <row r="284" spans="1:38" hidden="1" x14ac:dyDescent="0.25">
      <c r="A284" s="75"/>
      <c r="B284" s="75"/>
      <c r="C284" s="35">
        <f>INDEX(Données!$F$2:$L$54,MATCH(F284,Données!$F$2:$F$54,0),2)</f>
        <v>44151</v>
      </c>
      <c r="D284" s="29" t="str">
        <f t="shared" si="9"/>
        <v>Veuillez inscrire votre nom</v>
      </c>
      <c r="E284" s="7">
        <f>Données!G48</f>
        <v>44151</v>
      </c>
      <c r="F284" s="6" t="str">
        <f>INDEX(Données!$F$2:$L$54,MATCH('Portail d''objectifs'!E284,Données!$G$2:$G$54,1),1)</f>
        <v>47</v>
      </c>
      <c r="G284" s="18" t="b">
        <f t="shared" si="10"/>
        <v>0</v>
      </c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1"/>
      <c r="W284" s="75"/>
      <c r="X284" s="75"/>
      <c r="Y284" s="75"/>
      <c r="Z284" s="96">
        <f>SUM(Tableau1[[#This Row],[A-1]:[G-5]])</f>
        <v>0</v>
      </c>
      <c r="AA284" s="96" t="str">
        <f>IF(AND(Z284&gt;0,Tableau1[[#This Row],[CDS]]=""),"Oui","Non")</f>
        <v>Non</v>
      </c>
      <c r="AB284" s="75"/>
      <c r="AC284" s="75"/>
      <c r="AD284" s="75"/>
      <c r="AE284" s="75"/>
      <c r="AF284" s="75"/>
      <c r="AG284" s="75"/>
      <c r="AH284" s="75"/>
      <c r="AI284" s="75"/>
      <c r="AJ284" s="81"/>
      <c r="AK284" s="75"/>
      <c r="AL284" s="75"/>
    </row>
    <row r="285" spans="1:38" hidden="1" x14ac:dyDescent="0.25">
      <c r="A285" s="75"/>
      <c r="B285" s="75"/>
      <c r="C285" s="35">
        <f>INDEX(Données!$F$2:$L$54,MATCH(F285,Données!$F$2:$F$54,0),2)</f>
        <v>44151</v>
      </c>
      <c r="D285" s="29" t="str">
        <f t="shared" si="9"/>
        <v>Veuillez inscrire votre nom</v>
      </c>
      <c r="E285" s="7">
        <f>Données!H48</f>
        <v>44152</v>
      </c>
      <c r="F285" s="6" t="str">
        <f>INDEX(Données!$F$2:$L$54,MATCH('Portail d''objectifs'!E285,Données!$G$2:$G$54,1),1)</f>
        <v>47</v>
      </c>
      <c r="G285" s="18" t="b">
        <f t="shared" si="10"/>
        <v>0</v>
      </c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1"/>
      <c r="W285" s="75"/>
      <c r="X285" s="75"/>
      <c r="Y285" s="75"/>
      <c r="Z285" s="96">
        <f>SUM(Tableau1[[#This Row],[A-1]:[G-5]])</f>
        <v>0</v>
      </c>
      <c r="AA285" s="96" t="str">
        <f>IF(AND(Z285&gt;0,Tableau1[[#This Row],[CDS]]=""),"Oui","Non")</f>
        <v>Non</v>
      </c>
      <c r="AB285" s="75"/>
      <c r="AC285" s="75"/>
      <c r="AD285" s="75"/>
      <c r="AE285" s="75"/>
      <c r="AF285" s="75"/>
      <c r="AG285" s="75"/>
      <c r="AH285" s="75"/>
      <c r="AI285" s="75"/>
      <c r="AJ285" s="81"/>
      <c r="AK285" s="75"/>
      <c r="AL285" s="75"/>
    </row>
    <row r="286" spans="1:38" hidden="1" x14ac:dyDescent="0.25">
      <c r="A286" s="75"/>
      <c r="B286" s="75"/>
      <c r="C286" s="35">
        <f>INDEX(Données!$F$2:$L$54,MATCH(F286,Données!$F$2:$F$54,0),2)</f>
        <v>44151</v>
      </c>
      <c r="D286" s="29" t="str">
        <f t="shared" si="9"/>
        <v>Veuillez inscrire votre nom</v>
      </c>
      <c r="E286" s="7">
        <f>Données!I48</f>
        <v>44153</v>
      </c>
      <c r="F286" s="6" t="str">
        <f>INDEX(Données!$F$2:$L$54,MATCH('Portail d''objectifs'!E286,Données!$G$2:$G$54,1),1)</f>
        <v>47</v>
      </c>
      <c r="G286" s="18" t="b">
        <f t="shared" si="10"/>
        <v>0</v>
      </c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1"/>
      <c r="W286" s="75"/>
      <c r="X286" s="75"/>
      <c r="Y286" s="75"/>
      <c r="Z286" s="96">
        <f>SUM(Tableau1[[#This Row],[A-1]:[G-5]])</f>
        <v>0</v>
      </c>
      <c r="AA286" s="96" t="str">
        <f>IF(AND(Z286&gt;0,Tableau1[[#This Row],[CDS]]=""),"Oui","Non")</f>
        <v>Non</v>
      </c>
      <c r="AB286" s="75"/>
      <c r="AC286" s="75"/>
      <c r="AD286" s="75"/>
      <c r="AE286" s="75"/>
      <c r="AF286" s="75"/>
      <c r="AG286" s="75"/>
      <c r="AH286" s="75"/>
      <c r="AI286" s="75"/>
      <c r="AJ286" s="81"/>
      <c r="AK286" s="75"/>
      <c r="AL286" s="75"/>
    </row>
    <row r="287" spans="1:38" hidden="1" x14ac:dyDescent="0.25">
      <c r="A287" s="75"/>
      <c r="B287" s="75"/>
      <c r="C287" s="35">
        <f>INDEX(Données!$F$2:$L$54,MATCH(F287,Données!$F$2:$F$54,0),2)</f>
        <v>44151</v>
      </c>
      <c r="D287" s="29" t="str">
        <f t="shared" si="9"/>
        <v>Veuillez inscrire votre nom</v>
      </c>
      <c r="E287" s="7">
        <f>Données!J48</f>
        <v>44154</v>
      </c>
      <c r="F287" s="6" t="str">
        <f>INDEX(Données!$F$2:$L$54,MATCH('Portail d''objectifs'!E287,Données!$G$2:$G$54,1),1)</f>
        <v>47</v>
      </c>
      <c r="G287" s="18" t="b">
        <f t="shared" si="10"/>
        <v>0</v>
      </c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1"/>
      <c r="W287" s="75"/>
      <c r="X287" s="75"/>
      <c r="Y287" s="75"/>
      <c r="Z287" s="96">
        <f>SUM(Tableau1[[#This Row],[A-1]:[G-5]])</f>
        <v>0</v>
      </c>
      <c r="AA287" s="96" t="str">
        <f>IF(AND(Z287&gt;0,Tableau1[[#This Row],[CDS]]=""),"Oui","Non")</f>
        <v>Non</v>
      </c>
      <c r="AB287" s="75"/>
      <c r="AC287" s="75"/>
      <c r="AD287" s="75"/>
      <c r="AE287" s="75"/>
      <c r="AF287" s="75"/>
      <c r="AG287" s="75"/>
      <c r="AH287" s="75"/>
      <c r="AI287" s="75"/>
      <c r="AJ287" s="81"/>
      <c r="AK287" s="75"/>
      <c r="AL287" s="75"/>
    </row>
    <row r="288" spans="1:38" hidden="1" x14ac:dyDescent="0.25">
      <c r="A288" s="75"/>
      <c r="B288" s="75"/>
      <c r="C288" s="35">
        <f>INDEX(Données!$F$2:$L$54,MATCH(F288,Données!$F$2:$F$54,0),2)</f>
        <v>44151</v>
      </c>
      <c r="D288" s="29" t="str">
        <f t="shared" si="9"/>
        <v>Veuillez inscrire votre nom</v>
      </c>
      <c r="E288" s="7">
        <f>Données!K48</f>
        <v>44155</v>
      </c>
      <c r="F288" s="6" t="str">
        <f>INDEX(Données!$F$2:$L$54,MATCH('Portail d''objectifs'!E288,Données!$G$2:$G$54,1),1)</f>
        <v>47</v>
      </c>
      <c r="G288" s="18" t="b">
        <f t="shared" si="10"/>
        <v>0</v>
      </c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1"/>
      <c r="W288" s="75"/>
      <c r="X288" s="75"/>
      <c r="Y288" s="75"/>
      <c r="Z288" s="96">
        <f>SUM(Tableau1[[#This Row],[A-1]:[G-5]])</f>
        <v>0</v>
      </c>
      <c r="AA288" s="96" t="str">
        <f>IF(AND(Z288&gt;0,Tableau1[[#This Row],[CDS]]=""),"Oui","Non")</f>
        <v>Non</v>
      </c>
      <c r="AB288" s="75"/>
      <c r="AC288" s="75"/>
      <c r="AD288" s="75"/>
      <c r="AE288" s="75"/>
      <c r="AF288" s="75"/>
      <c r="AG288" s="75"/>
      <c r="AH288" s="75"/>
      <c r="AI288" s="75"/>
      <c r="AJ288" s="81"/>
      <c r="AK288" s="75"/>
      <c r="AL288" s="75"/>
    </row>
    <row r="289" spans="1:38" hidden="1" x14ac:dyDescent="0.25">
      <c r="A289" s="75"/>
      <c r="B289" s="75"/>
      <c r="C289" s="35">
        <f>INDEX(Données!$F$2:$L$54,MATCH(F289,Données!$F$2:$F$54,0),2)</f>
        <v>44151</v>
      </c>
      <c r="D289" s="29" t="str">
        <f t="shared" si="9"/>
        <v>Veuillez inscrire votre nom</v>
      </c>
      <c r="E289" s="7">
        <f>Données!L48</f>
        <v>44156</v>
      </c>
      <c r="F289" s="6" t="str">
        <f>INDEX(Données!$F$2:$L$54,MATCH('Portail d''objectifs'!E289,Données!$G$2:$G$54,1),1)</f>
        <v>47</v>
      </c>
      <c r="G289" s="18" t="b">
        <f t="shared" si="10"/>
        <v>0</v>
      </c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1"/>
      <c r="W289" s="75"/>
      <c r="X289" s="75"/>
      <c r="Y289" s="75"/>
      <c r="Z289" s="96">
        <f>SUM(Tableau1[[#This Row],[A-1]:[G-5]])</f>
        <v>0</v>
      </c>
      <c r="AA289" s="96" t="str">
        <f>IF(AND(Z289&gt;0,Tableau1[[#This Row],[CDS]]=""),"Oui","Non")</f>
        <v>Non</v>
      </c>
      <c r="AB289" s="75"/>
      <c r="AC289" s="75"/>
      <c r="AD289" s="75"/>
      <c r="AE289" s="75"/>
      <c r="AF289" s="75"/>
      <c r="AG289" s="75"/>
      <c r="AH289" s="75"/>
      <c r="AI289" s="75"/>
      <c r="AJ289" s="81"/>
      <c r="AK289" s="75"/>
      <c r="AL289" s="75"/>
    </row>
    <row r="290" spans="1:38" hidden="1" x14ac:dyDescent="0.25">
      <c r="A290" s="75"/>
      <c r="B290" s="75"/>
      <c r="C290" s="35">
        <f>INDEX(Données!$F$2:$L$54,MATCH(F290,Données!$F$2:$F$54,0),2)</f>
        <v>44158</v>
      </c>
      <c r="D290" s="29" t="str">
        <f t="shared" si="9"/>
        <v>Veuillez inscrire votre nom</v>
      </c>
      <c r="E290" s="7">
        <f>Données!G49</f>
        <v>44158</v>
      </c>
      <c r="F290" s="6" t="str">
        <f>INDEX(Données!$F$2:$L$54,MATCH('Portail d''objectifs'!E290,Données!$G$2:$G$54,1),1)</f>
        <v>48</v>
      </c>
      <c r="G290" s="18" t="b">
        <f t="shared" si="10"/>
        <v>0</v>
      </c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1"/>
      <c r="W290" s="75"/>
      <c r="X290" s="75"/>
      <c r="Y290" s="75"/>
      <c r="Z290" s="96">
        <f>SUM(Tableau1[[#This Row],[A-1]:[G-5]])</f>
        <v>0</v>
      </c>
      <c r="AA290" s="96" t="str">
        <f>IF(AND(Z290&gt;0,Tableau1[[#This Row],[CDS]]=""),"Oui","Non")</f>
        <v>Non</v>
      </c>
      <c r="AB290" s="75"/>
      <c r="AC290" s="75"/>
      <c r="AD290" s="75"/>
      <c r="AE290" s="75"/>
      <c r="AF290" s="75"/>
      <c r="AG290" s="75"/>
      <c r="AH290" s="75"/>
      <c r="AI290" s="75"/>
      <c r="AJ290" s="81"/>
      <c r="AK290" s="75"/>
      <c r="AL290" s="75"/>
    </row>
    <row r="291" spans="1:38" hidden="1" x14ac:dyDescent="0.25">
      <c r="A291" s="75"/>
      <c r="B291" s="75"/>
      <c r="C291" s="35">
        <f>INDEX(Données!$F$2:$L$54,MATCH(F291,Données!$F$2:$F$54,0),2)</f>
        <v>44158</v>
      </c>
      <c r="D291" s="29" t="str">
        <f t="shared" si="9"/>
        <v>Veuillez inscrire votre nom</v>
      </c>
      <c r="E291" s="7">
        <f>Données!H49</f>
        <v>44159</v>
      </c>
      <c r="F291" s="6" t="str">
        <f>INDEX(Données!$F$2:$L$54,MATCH('Portail d''objectifs'!E291,Données!$G$2:$G$54,1),1)</f>
        <v>48</v>
      </c>
      <c r="G291" s="18" t="b">
        <f t="shared" si="10"/>
        <v>0</v>
      </c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1"/>
      <c r="W291" s="75"/>
      <c r="X291" s="75"/>
      <c r="Y291" s="75"/>
      <c r="Z291" s="96">
        <f>SUM(Tableau1[[#This Row],[A-1]:[G-5]])</f>
        <v>0</v>
      </c>
      <c r="AA291" s="96" t="str">
        <f>IF(AND(Z291&gt;0,Tableau1[[#This Row],[CDS]]=""),"Oui","Non")</f>
        <v>Non</v>
      </c>
      <c r="AB291" s="75"/>
      <c r="AC291" s="75"/>
      <c r="AD291" s="75"/>
      <c r="AE291" s="75"/>
      <c r="AF291" s="75"/>
      <c r="AG291" s="75"/>
      <c r="AH291" s="75"/>
      <c r="AI291" s="75"/>
      <c r="AJ291" s="81"/>
      <c r="AK291" s="75"/>
      <c r="AL291" s="75"/>
    </row>
    <row r="292" spans="1:38" hidden="1" x14ac:dyDescent="0.25">
      <c r="A292" s="75"/>
      <c r="B292" s="75"/>
      <c r="C292" s="35">
        <f>INDEX(Données!$F$2:$L$54,MATCH(F292,Données!$F$2:$F$54,0),2)</f>
        <v>44158</v>
      </c>
      <c r="D292" s="29" t="str">
        <f t="shared" si="9"/>
        <v>Veuillez inscrire votre nom</v>
      </c>
      <c r="E292" s="7">
        <f>Données!I49</f>
        <v>44160</v>
      </c>
      <c r="F292" s="6" t="str">
        <f>INDEX(Données!$F$2:$L$54,MATCH('Portail d''objectifs'!E292,Données!$G$2:$G$54,1),1)</f>
        <v>48</v>
      </c>
      <c r="G292" s="18" t="b">
        <f t="shared" si="10"/>
        <v>0</v>
      </c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1"/>
      <c r="W292" s="75"/>
      <c r="X292" s="75"/>
      <c r="Y292" s="75"/>
      <c r="Z292" s="96">
        <f>SUM(Tableau1[[#This Row],[A-1]:[G-5]])</f>
        <v>0</v>
      </c>
      <c r="AA292" s="96" t="str">
        <f>IF(AND(Z292&gt;0,Tableau1[[#This Row],[CDS]]=""),"Oui","Non")</f>
        <v>Non</v>
      </c>
      <c r="AB292" s="75"/>
      <c r="AC292" s="75"/>
      <c r="AD292" s="75"/>
      <c r="AE292" s="75"/>
      <c r="AF292" s="75"/>
      <c r="AG292" s="75"/>
      <c r="AH292" s="75"/>
      <c r="AI292" s="75"/>
      <c r="AJ292" s="81"/>
      <c r="AK292" s="75"/>
      <c r="AL292" s="75"/>
    </row>
    <row r="293" spans="1:38" hidden="1" x14ac:dyDescent="0.25">
      <c r="A293" s="75"/>
      <c r="B293" s="75"/>
      <c r="C293" s="35">
        <f>INDEX(Données!$F$2:$L$54,MATCH(F293,Données!$F$2:$F$54,0),2)</f>
        <v>44158</v>
      </c>
      <c r="D293" s="29" t="str">
        <f t="shared" si="9"/>
        <v>Veuillez inscrire votre nom</v>
      </c>
      <c r="E293" s="7">
        <f>Données!J49</f>
        <v>44161</v>
      </c>
      <c r="F293" s="6" t="str">
        <f>INDEX(Données!$F$2:$L$54,MATCH('Portail d''objectifs'!E293,Données!$G$2:$G$54,1),1)</f>
        <v>48</v>
      </c>
      <c r="G293" s="18" t="b">
        <f t="shared" si="10"/>
        <v>0</v>
      </c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1"/>
      <c r="W293" s="75"/>
      <c r="X293" s="75"/>
      <c r="Y293" s="75"/>
      <c r="Z293" s="96">
        <f>SUM(Tableau1[[#This Row],[A-1]:[G-5]])</f>
        <v>0</v>
      </c>
      <c r="AA293" s="96" t="str">
        <f>IF(AND(Z293&gt;0,Tableau1[[#This Row],[CDS]]=""),"Oui","Non")</f>
        <v>Non</v>
      </c>
      <c r="AB293" s="75"/>
      <c r="AC293" s="75"/>
      <c r="AD293" s="75"/>
      <c r="AE293" s="75"/>
      <c r="AF293" s="75"/>
      <c r="AG293" s="75"/>
      <c r="AH293" s="75"/>
      <c r="AI293" s="75"/>
      <c r="AJ293" s="81"/>
      <c r="AK293" s="75"/>
      <c r="AL293" s="75"/>
    </row>
    <row r="294" spans="1:38" hidden="1" x14ac:dyDescent="0.25">
      <c r="A294" s="75"/>
      <c r="B294" s="75"/>
      <c r="C294" s="35">
        <f>INDEX(Données!$F$2:$L$54,MATCH(F294,Données!$F$2:$F$54,0),2)</f>
        <v>44158</v>
      </c>
      <c r="D294" s="29" t="str">
        <f t="shared" si="9"/>
        <v>Veuillez inscrire votre nom</v>
      </c>
      <c r="E294" s="7">
        <f>Données!K49</f>
        <v>44162</v>
      </c>
      <c r="F294" s="6" t="str">
        <f>INDEX(Données!$F$2:$L$54,MATCH('Portail d''objectifs'!E294,Données!$G$2:$G$54,1),1)</f>
        <v>48</v>
      </c>
      <c r="G294" s="18" t="b">
        <f t="shared" si="10"/>
        <v>0</v>
      </c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1"/>
      <c r="W294" s="75"/>
      <c r="X294" s="75"/>
      <c r="Y294" s="75"/>
      <c r="Z294" s="96">
        <f>SUM(Tableau1[[#This Row],[A-1]:[G-5]])</f>
        <v>0</v>
      </c>
      <c r="AA294" s="96" t="str">
        <f>IF(AND(Z294&gt;0,Tableau1[[#This Row],[CDS]]=""),"Oui","Non")</f>
        <v>Non</v>
      </c>
      <c r="AB294" s="75"/>
      <c r="AC294" s="75"/>
      <c r="AD294" s="75"/>
      <c r="AE294" s="75"/>
      <c r="AF294" s="75"/>
      <c r="AG294" s="75"/>
      <c r="AH294" s="75"/>
      <c r="AI294" s="75"/>
      <c r="AJ294" s="81"/>
      <c r="AK294" s="75"/>
      <c r="AL294" s="75"/>
    </row>
    <row r="295" spans="1:38" hidden="1" x14ac:dyDescent="0.25">
      <c r="A295" s="75"/>
      <c r="B295" s="75"/>
      <c r="C295" s="35">
        <f>INDEX(Données!$F$2:$L$54,MATCH(F295,Données!$F$2:$F$54,0),2)</f>
        <v>44158</v>
      </c>
      <c r="D295" s="29" t="str">
        <f t="shared" si="9"/>
        <v>Veuillez inscrire votre nom</v>
      </c>
      <c r="E295" s="7">
        <f>Données!L49</f>
        <v>44163</v>
      </c>
      <c r="F295" s="6" t="str">
        <f>INDEX(Données!$F$2:$L$54,MATCH('Portail d''objectifs'!E295,Données!$G$2:$G$54,1),1)</f>
        <v>48</v>
      </c>
      <c r="G295" s="18" t="b">
        <f t="shared" si="10"/>
        <v>0</v>
      </c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1"/>
      <c r="W295" s="75"/>
      <c r="X295" s="75"/>
      <c r="Y295" s="75"/>
      <c r="Z295" s="96">
        <f>SUM(Tableau1[[#This Row],[A-1]:[G-5]])</f>
        <v>0</v>
      </c>
      <c r="AA295" s="96" t="str">
        <f>IF(AND(Z295&gt;0,Tableau1[[#This Row],[CDS]]=""),"Oui","Non")</f>
        <v>Non</v>
      </c>
      <c r="AB295" s="75"/>
      <c r="AC295" s="75"/>
      <c r="AD295" s="75"/>
      <c r="AE295" s="75"/>
      <c r="AF295" s="75"/>
      <c r="AG295" s="75"/>
      <c r="AH295" s="75"/>
      <c r="AI295" s="75"/>
      <c r="AJ295" s="81"/>
      <c r="AK295" s="75"/>
      <c r="AL295" s="75"/>
    </row>
    <row r="296" spans="1:38" hidden="1" x14ac:dyDescent="0.25">
      <c r="A296" s="75"/>
      <c r="B296" s="75"/>
      <c r="C296" s="35">
        <f>INDEX(Données!$F$2:$L$54,MATCH(F296,Données!$F$2:$F$54,0),2)</f>
        <v>44165</v>
      </c>
      <c r="D296" s="29" t="str">
        <f t="shared" si="9"/>
        <v>Veuillez inscrire votre nom</v>
      </c>
      <c r="E296" s="7">
        <f>Données!G50</f>
        <v>44165</v>
      </c>
      <c r="F296" s="6" t="str">
        <f>INDEX(Données!$F$2:$L$54,MATCH('Portail d''objectifs'!E296,Données!$G$2:$G$54,1),1)</f>
        <v>49</v>
      </c>
      <c r="G296" s="18" t="b">
        <f t="shared" si="10"/>
        <v>0</v>
      </c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1"/>
      <c r="W296" s="75"/>
      <c r="X296" s="75"/>
      <c r="Y296" s="75"/>
      <c r="Z296" s="96">
        <f>SUM(Tableau1[[#This Row],[A-1]:[G-5]])</f>
        <v>0</v>
      </c>
      <c r="AA296" s="96" t="str">
        <f>IF(AND(Z296&gt;0,Tableau1[[#This Row],[CDS]]=""),"Oui","Non")</f>
        <v>Non</v>
      </c>
      <c r="AB296" s="75"/>
      <c r="AC296" s="75"/>
      <c r="AD296" s="75"/>
      <c r="AE296" s="75"/>
      <c r="AF296" s="75"/>
      <c r="AG296" s="75"/>
      <c r="AH296" s="75"/>
      <c r="AI296" s="75"/>
      <c r="AJ296" s="81"/>
      <c r="AK296" s="75"/>
      <c r="AL296" s="75"/>
    </row>
    <row r="297" spans="1:38" hidden="1" x14ac:dyDescent="0.25">
      <c r="A297" s="75"/>
      <c r="B297" s="75"/>
      <c r="C297" s="35">
        <f>INDEX(Données!$F$2:$L$54,MATCH(F297,Données!$F$2:$F$54,0),2)</f>
        <v>44165</v>
      </c>
      <c r="D297" s="29" t="str">
        <f t="shared" si="9"/>
        <v>Veuillez inscrire votre nom</v>
      </c>
      <c r="E297" s="7">
        <f>Données!H50</f>
        <v>44166</v>
      </c>
      <c r="F297" s="6" t="str">
        <f>INDEX(Données!$F$2:$L$54,MATCH('Portail d''objectifs'!E297,Données!$G$2:$G$54,1),1)</f>
        <v>49</v>
      </c>
      <c r="G297" s="18" t="b">
        <f t="shared" si="10"/>
        <v>0</v>
      </c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1"/>
      <c r="W297" s="75"/>
      <c r="X297" s="75"/>
      <c r="Y297" s="75"/>
      <c r="Z297" s="96">
        <f>SUM(Tableau1[[#This Row],[A-1]:[G-5]])</f>
        <v>0</v>
      </c>
      <c r="AA297" s="96" t="str">
        <f>IF(AND(Z297&gt;0,Tableau1[[#This Row],[CDS]]=""),"Oui","Non")</f>
        <v>Non</v>
      </c>
      <c r="AB297" s="75"/>
      <c r="AC297" s="75"/>
      <c r="AD297" s="75"/>
      <c r="AE297" s="75"/>
      <c r="AF297" s="75"/>
      <c r="AG297" s="75"/>
      <c r="AH297" s="75"/>
      <c r="AI297" s="75"/>
      <c r="AJ297" s="81"/>
      <c r="AK297" s="75"/>
      <c r="AL297" s="75"/>
    </row>
    <row r="298" spans="1:38" hidden="1" x14ac:dyDescent="0.25">
      <c r="A298" s="75"/>
      <c r="B298" s="75"/>
      <c r="C298" s="35">
        <f>INDEX(Données!$F$2:$L$54,MATCH(F298,Données!$F$2:$F$54,0),2)</f>
        <v>44165</v>
      </c>
      <c r="D298" s="29" t="str">
        <f t="shared" si="9"/>
        <v>Veuillez inscrire votre nom</v>
      </c>
      <c r="E298" s="7">
        <f>Données!I50</f>
        <v>44167</v>
      </c>
      <c r="F298" s="6" t="str">
        <f>INDEX(Données!$F$2:$L$54,MATCH('Portail d''objectifs'!E298,Données!$G$2:$G$54,1),1)</f>
        <v>49</v>
      </c>
      <c r="G298" s="18" t="b">
        <f t="shared" si="10"/>
        <v>0</v>
      </c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1"/>
      <c r="W298" s="75"/>
      <c r="X298" s="75"/>
      <c r="Y298" s="75"/>
      <c r="Z298" s="96">
        <f>SUM(Tableau1[[#This Row],[A-1]:[G-5]])</f>
        <v>0</v>
      </c>
      <c r="AA298" s="96" t="str">
        <f>IF(AND(Z298&gt;0,Tableau1[[#This Row],[CDS]]=""),"Oui","Non")</f>
        <v>Non</v>
      </c>
      <c r="AB298" s="75"/>
      <c r="AC298" s="75"/>
      <c r="AD298" s="75"/>
      <c r="AE298" s="75"/>
      <c r="AF298" s="75"/>
      <c r="AG298" s="75"/>
      <c r="AH298" s="75"/>
      <c r="AI298" s="75"/>
      <c r="AJ298" s="81"/>
      <c r="AK298" s="75"/>
      <c r="AL298" s="75"/>
    </row>
    <row r="299" spans="1:38" hidden="1" x14ac:dyDescent="0.25">
      <c r="A299" s="75"/>
      <c r="B299" s="75"/>
      <c r="C299" s="35">
        <f>INDEX(Données!$F$2:$L$54,MATCH(F299,Données!$F$2:$F$54,0),2)</f>
        <v>44165</v>
      </c>
      <c r="D299" s="29" t="str">
        <f t="shared" si="9"/>
        <v>Veuillez inscrire votre nom</v>
      </c>
      <c r="E299" s="7">
        <f>Données!J50</f>
        <v>44168</v>
      </c>
      <c r="F299" s="6" t="str">
        <f>INDEX(Données!$F$2:$L$54,MATCH('Portail d''objectifs'!E299,Données!$G$2:$G$54,1),1)</f>
        <v>49</v>
      </c>
      <c r="G299" s="18" t="b">
        <f t="shared" si="10"/>
        <v>0</v>
      </c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1"/>
      <c r="W299" s="75"/>
      <c r="X299" s="75"/>
      <c r="Y299" s="75"/>
      <c r="Z299" s="96">
        <f>SUM(Tableau1[[#This Row],[A-1]:[G-5]])</f>
        <v>0</v>
      </c>
      <c r="AA299" s="96" t="str">
        <f>IF(AND(Z299&gt;0,Tableau1[[#This Row],[CDS]]=""),"Oui","Non")</f>
        <v>Non</v>
      </c>
      <c r="AB299" s="75"/>
      <c r="AC299" s="75"/>
      <c r="AD299" s="75"/>
      <c r="AE299" s="75"/>
      <c r="AF299" s="75"/>
      <c r="AG299" s="75"/>
      <c r="AH299" s="75"/>
      <c r="AI299" s="75"/>
      <c r="AJ299" s="81"/>
      <c r="AK299" s="75"/>
      <c r="AL299" s="75"/>
    </row>
    <row r="300" spans="1:38" hidden="1" x14ac:dyDescent="0.25">
      <c r="A300" s="75"/>
      <c r="B300" s="75"/>
      <c r="C300" s="35">
        <f>INDEX(Données!$F$2:$L$54,MATCH(F300,Données!$F$2:$F$54,0),2)</f>
        <v>44165</v>
      </c>
      <c r="D300" s="29" t="str">
        <f t="shared" si="9"/>
        <v>Veuillez inscrire votre nom</v>
      </c>
      <c r="E300" s="7">
        <f>Données!K50</f>
        <v>44169</v>
      </c>
      <c r="F300" s="6" t="str">
        <f>INDEX(Données!$F$2:$L$54,MATCH('Portail d''objectifs'!E300,Données!$G$2:$G$54,1),1)</f>
        <v>49</v>
      </c>
      <c r="G300" s="18" t="b">
        <f t="shared" si="10"/>
        <v>0</v>
      </c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1"/>
      <c r="W300" s="75"/>
      <c r="X300" s="75"/>
      <c r="Y300" s="75"/>
      <c r="Z300" s="96">
        <f>SUM(Tableau1[[#This Row],[A-1]:[G-5]])</f>
        <v>0</v>
      </c>
      <c r="AA300" s="96" t="str">
        <f>IF(AND(Z300&gt;0,Tableau1[[#This Row],[CDS]]=""),"Oui","Non")</f>
        <v>Non</v>
      </c>
      <c r="AB300" s="75"/>
      <c r="AC300" s="75"/>
      <c r="AD300" s="75"/>
      <c r="AE300" s="75"/>
      <c r="AF300" s="75"/>
      <c r="AG300" s="75"/>
      <c r="AH300" s="75"/>
      <c r="AI300" s="75"/>
      <c r="AJ300" s="81"/>
      <c r="AK300" s="75"/>
      <c r="AL300" s="75"/>
    </row>
    <row r="301" spans="1:38" hidden="1" x14ac:dyDescent="0.25">
      <c r="A301" s="75"/>
      <c r="B301" s="75"/>
      <c r="C301" s="35">
        <f>INDEX(Données!$F$2:$L$54,MATCH(F301,Données!$F$2:$F$54,0),2)</f>
        <v>44165</v>
      </c>
      <c r="D301" s="29" t="str">
        <f t="shared" si="9"/>
        <v>Veuillez inscrire votre nom</v>
      </c>
      <c r="E301" s="7">
        <f>Données!L50</f>
        <v>44170</v>
      </c>
      <c r="F301" s="6" t="str">
        <f>INDEX(Données!$F$2:$L$54,MATCH('Portail d''objectifs'!E301,Données!$G$2:$G$54,1),1)</f>
        <v>49</v>
      </c>
      <c r="G301" s="18" t="b">
        <f t="shared" si="10"/>
        <v>0</v>
      </c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1"/>
      <c r="W301" s="75"/>
      <c r="X301" s="75"/>
      <c r="Y301" s="75"/>
      <c r="Z301" s="96">
        <f>SUM(Tableau1[[#This Row],[A-1]:[G-5]])</f>
        <v>0</v>
      </c>
      <c r="AA301" s="96" t="str">
        <f>IF(AND(Z301&gt;0,Tableau1[[#This Row],[CDS]]=""),"Oui","Non")</f>
        <v>Non</v>
      </c>
      <c r="AB301" s="75"/>
      <c r="AC301" s="75"/>
      <c r="AD301" s="75"/>
      <c r="AE301" s="75"/>
      <c r="AF301" s="75"/>
      <c r="AG301" s="75"/>
      <c r="AH301" s="75"/>
      <c r="AI301" s="75"/>
      <c r="AJ301" s="81"/>
      <c r="AK301" s="75"/>
      <c r="AL301" s="75"/>
    </row>
    <row r="302" spans="1:38" hidden="1" x14ac:dyDescent="0.25">
      <c r="A302" s="75"/>
      <c r="B302" s="75"/>
      <c r="C302" s="35">
        <f>INDEX(Données!$F$2:$L$54,MATCH(F302,Données!$F$2:$F$54,0),2)</f>
        <v>44172</v>
      </c>
      <c r="D302" s="29" t="str">
        <f t="shared" si="9"/>
        <v>Veuillez inscrire votre nom</v>
      </c>
      <c r="E302" s="7">
        <f>Données!G51</f>
        <v>44172</v>
      </c>
      <c r="F302" s="6" t="str">
        <f>INDEX(Données!$F$2:$L$54,MATCH('Portail d''objectifs'!E302,Données!$G$2:$G$54,1),1)</f>
        <v>50</v>
      </c>
      <c r="G302" s="18" t="b">
        <f t="shared" si="10"/>
        <v>0</v>
      </c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1"/>
      <c r="W302" s="75"/>
      <c r="X302" s="75"/>
      <c r="Y302" s="75"/>
      <c r="Z302" s="96">
        <f>SUM(Tableau1[[#This Row],[A-1]:[G-5]])</f>
        <v>0</v>
      </c>
      <c r="AA302" s="96" t="str">
        <f>IF(AND(Z302&gt;0,Tableau1[[#This Row],[CDS]]=""),"Oui","Non")</f>
        <v>Non</v>
      </c>
      <c r="AB302" s="75"/>
      <c r="AC302" s="75"/>
      <c r="AD302" s="75"/>
      <c r="AE302" s="75"/>
      <c r="AF302" s="75"/>
      <c r="AG302" s="75"/>
      <c r="AH302" s="75"/>
      <c r="AI302" s="75"/>
      <c r="AJ302" s="81"/>
      <c r="AK302" s="75"/>
      <c r="AL302" s="75"/>
    </row>
    <row r="303" spans="1:38" hidden="1" x14ac:dyDescent="0.25">
      <c r="A303" s="75"/>
      <c r="B303" s="75"/>
      <c r="C303" s="35">
        <f>INDEX(Données!$F$2:$L$54,MATCH(F303,Données!$F$2:$F$54,0),2)</f>
        <v>44172</v>
      </c>
      <c r="D303" s="29" t="str">
        <f t="shared" si="9"/>
        <v>Veuillez inscrire votre nom</v>
      </c>
      <c r="E303" s="7">
        <f>Données!H51</f>
        <v>44173</v>
      </c>
      <c r="F303" s="6" t="str">
        <f>INDEX(Données!$F$2:$L$54,MATCH('Portail d''objectifs'!E303,Données!$G$2:$G$54,1),1)</f>
        <v>50</v>
      </c>
      <c r="G303" s="18" t="b">
        <f t="shared" si="10"/>
        <v>0</v>
      </c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1"/>
      <c r="W303" s="75"/>
      <c r="X303" s="75"/>
      <c r="Y303" s="75"/>
      <c r="Z303" s="96">
        <f>SUM(Tableau1[[#This Row],[A-1]:[G-5]])</f>
        <v>0</v>
      </c>
      <c r="AA303" s="96" t="str">
        <f>IF(AND(Z303&gt;0,Tableau1[[#This Row],[CDS]]=""),"Oui","Non")</f>
        <v>Non</v>
      </c>
      <c r="AB303" s="75"/>
      <c r="AC303" s="75"/>
      <c r="AD303" s="75"/>
      <c r="AE303" s="75"/>
      <c r="AF303" s="75"/>
      <c r="AG303" s="75"/>
      <c r="AH303" s="75"/>
      <c r="AI303" s="75"/>
      <c r="AJ303" s="81"/>
      <c r="AK303" s="75"/>
      <c r="AL303" s="75"/>
    </row>
    <row r="304" spans="1:38" hidden="1" x14ac:dyDescent="0.25">
      <c r="A304" s="75"/>
      <c r="B304" s="75"/>
      <c r="C304" s="35">
        <f>INDEX(Données!$F$2:$L$54,MATCH(F304,Données!$F$2:$F$54,0),2)</f>
        <v>44172</v>
      </c>
      <c r="D304" s="29" t="str">
        <f t="shared" si="9"/>
        <v>Veuillez inscrire votre nom</v>
      </c>
      <c r="E304" s="7">
        <f>Données!I51</f>
        <v>44174</v>
      </c>
      <c r="F304" s="6" t="str">
        <f>INDEX(Données!$F$2:$L$54,MATCH('Portail d''objectifs'!E304,Données!$G$2:$G$54,1),1)</f>
        <v>50</v>
      </c>
      <c r="G304" s="18" t="b">
        <f t="shared" si="10"/>
        <v>0</v>
      </c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1"/>
      <c r="W304" s="75"/>
      <c r="X304" s="75"/>
      <c r="Y304" s="75"/>
      <c r="Z304" s="96">
        <f>SUM(Tableau1[[#This Row],[A-1]:[G-5]])</f>
        <v>0</v>
      </c>
      <c r="AA304" s="96" t="str">
        <f>IF(AND(Z304&gt;0,Tableau1[[#This Row],[CDS]]=""),"Oui","Non")</f>
        <v>Non</v>
      </c>
      <c r="AB304" s="75"/>
      <c r="AC304" s="75"/>
      <c r="AD304" s="75"/>
      <c r="AE304" s="75"/>
      <c r="AF304" s="75"/>
      <c r="AG304" s="75"/>
      <c r="AH304" s="75"/>
      <c r="AI304" s="75"/>
      <c r="AJ304" s="81"/>
      <c r="AK304" s="75"/>
      <c r="AL304" s="75"/>
    </row>
    <row r="305" spans="1:38" hidden="1" x14ac:dyDescent="0.25">
      <c r="A305" s="75"/>
      <c r="B305" s="75"/>
      <c r="C305" s="35">
        <f>INDEX(Données!$F$2:$L$54,MATCH(F305,Données!$F$2:$F$54,0),2)</f>
        <v>44172</v>
      </c>
      <c r="D305" s="29" t="str">
        <f t="shared" si="9"/>
        <v>Veuillez inscrire votre nom</v>
      </c>
      <c r="E305" s="7">
        <f>Données!J51</f>
        <v>44175</v>
      </c>
      <c r="F305" s="6" t="str">
        <f>INDEX(Données!$F$2:$L$54,MATCH('Portail d''objectifs'!E305,Données!$G$2:$G$54,1),1)</f>
        <v>50</v>
      </c>
      <c r="G305" s="18" t="b">
        <f t="shared" si="10"/>
        <v>0</v>
      </c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1"/>
      <c r="W305" s="75"/>
      <c r="X305" s="75"/>
      <c r="Y305" s="75"/>
      <c r="Z305" s="96">
        <f>SUM(Tableau1[[#This Row],[A-1]:[G-5]])</f>
        <v>0</v>
      </c>
      <c r="AA305" s="96" t="str">
        <f>IF(AND(Z305&gt;0,Tableau1[[#This Row],[CDS]]=""),"Oui","Non")</f>
        <v>Non</v>
      </c>
      <c r="AB305" s="75"/>
      <c r="AC305" s="75"/>
      <c r="AD305" s="75"/>
      <c r="AE305" s="75"/>
      <c r="AF305" s="75"/>
      <c r="AG305" s="75"/>
      <c r="AH305" s="75"/>
      <c r="AI305" s="75"/>
      <c r="AJ305" s="81"/>
      <c r="AK305" s="75"/>
      <c r="AL305" s="75"/>
    </row>
    <row r="306" spans="1:38" hidden="1" x14ac:dyDescent="0.25">
      <c r="A306" s="75"/>
      <c r="B306" s="75"/>
      <c r="C306" s="35">
        <f>INDEX(Données!$F$2:$L$54,MATCH(F306,Données!$F$2:$F$54,0),2)</f>
        <v>44172</v>
      </c>
      <c r="D306" s="29" t="str">
        <f t="shared" si="9"/>
        <v>Veuillez inscrire votre nom</v>
      </c>
      <c r="E306" s="7">
        <f>Données!K51</f>
        <v>44176</v>
      </c>
      <c r="F306" s="6" t="str">
        <f>INDEX(Données!$F$2:$L$54,MATCH('Portail d''objectifs'!E306,Données!$G$2:$G$54,1),1)</f>
        <v>50</v>
      </c>
      <c r="G306" s="18" t="b">
        <f t="shared" si="10"/>
        <v>0</v>
      </c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1"/>
      <c r="W306" s="75"/>
      <c r="X306" s="75"/>
      <c r="Y306" s="75"/>
      <c r="Z306" s="96">
        <f>SUM(Tableau1[[#This Row],[A-1]:[G-5]])</f>
        <v>0</v>
      </c>
      <c r="AA306" s="96" t="str">
        <f>IF(AND(Z306&gt;0,Tableau1[[#This Row],[CDS]]=""),"Oui","Non")</f>
        <v>Non</v>
      </c>
      <c r="AB306" s="75"/>
      <c r="AC306" s="75"/>
      <c r="AD306" s="75"/>
      <c r="AE306" s="75"/>
      <c r="AF306" s="75"/>
      <c r="AG306" s="75"/>
      <c r="AH306" s="75"/>
      <c r="AI306" s="75"/>
      <c r="AJ306" s="81"/>
      <c r="AK306" s="75"/>
      <c r="AL306" s="75"/>
    </row>
    <row r="307" spans="1:38" hidden="1" x14ac:dyDescent="0.25">
      <c r="A307" s="75"/>
      <c r="B307" s="75"/>
      <c r="C307" s="35">
        <f>INDEX(Données!$F$2:$L$54,MATCH(F307,Données!$F$2:$F$54,0),2)</f>
        <v>44172</v>
      </c>
      <c r="D307" s="29" t="str">
        <f t="shared" si="9"/>
        <v>Veuillez inscrire votre nom</v>
      </c>
      <c r="E307" s="7">
        <f>Données!L51</f>
        <v>44177</v>
      </c>
      <c r="F307" s="6" t="str">
        <f>INDEX(Données!$F$2:$L$54,MATCH('Portail d''objectifs'!E307,Données!$G$2:$G$54,1),1)</f>
        <v>50</v>
      </c>
      <c r="G307" s="18" t="b">
        <f t="shared" si="10"/>
        <v>0</v>
      </c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1"/>
      <c r="W307" s="75"/>
      <c r="X307" s="75"/>
      <c r="Y307" s="75"/>
      <c r="Z307" s="96">
        <f>SUM(Tableau1[[#This Row],[A-1]:[G-5]])</f>
        <v>0</v>
      </c>
      <c r="AA307" s="96" t="str">
        <f>IF(AND(Z307&gt;0,Tableau1[[#This Row],[CDS]]=""),"Oui","Non")</f>
        <v>Non</v>
      </c>
      <c r="AB307" s="75"/>
      <c r="AC307" s="75"/>
      <c r="AD307" s="75"/>
      <c r="AE307" s="75"/>
      <c r="AF307" s="75"/>
      <c r="AG307" s="75"/>
      <c r="AH307" s="75"/>
      <c r="AI307" s="75"/>
      <c r="AJ307" s="81"/>
      <c r="AK307" s="75"/>
      <c r="AL307" s="75"/>
    </row>
    <row r="308" spans="1:38" hidden="1" x14ac:dyDescent="0.25">
      <c r="A308" s="75"/>
      <c r="B308" s="75"/>
      <c r="C308" s="35">
        <f>INDEX(Données!$F$2:$L$54,MATCH(F308,Données!$F$2:$F$54,0),2)</f>
        <v>44179</v>
      </c>
      <c r="D308" s="29" t="str">
        <f t="shared" si="9"/>
        <v>Veuillez inscrire votre nom</v>
      </c>
      <c r="E308" s="7">
        <f>Données!G52</f>
        <v>44179</v>
      </c>
      <c r="F308" s="6" t="str">
        <f>INDEX(Données!$F$2:$L$54,MATCH('Portail d''objectifs'!E308,Données!$G$2:$G$54,1),1)</f>
        <v>51</v>
      </c>
      <c r="G308" s="18" t="b">
        <f t="shared" si="10"/>
        <v>0</v>
      </c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1"/>
      <c r="W308" s="75"/>
      <c r="X308" s="75"/>
      <c r="Y308" s="75"/>
      <c r="Z308" s="96">
        <f>SUM(Tableau1[[#This Row],[A-1]:[G-5]])</f>
        <v>0</v>
      </c>
      <c r="AA308" s="96" t="str">
        <f>IF(AND(Z308&gt;0,Tableau1[[#This Row],[CDS]]=""),"Oui","Non")</f>
        <v>Non</v>
      </c>
      <c r="AB308" s="75"/>
      <c r="AC308" s="75"/>
      <c r="AD308" s="75"/>
      <c r="AE308" s="75"/>
      <c r="AF308" s="75"/>
      <c r="AG308" s="75"/>
      <c r="AH308" s="75"/>
      <c r="AI308" s="75"/>
      <c r="AJ308" s="81"/>
      <c r="AK308" s="75"/>
      <c r="AL308" s="75"/>
    </row>
    <row r="309" spans="1:38" hidden="1" x14ac:dyDescent="0.25">
      <c r="A309" s="75"/>
      <c r="B309" s="75"/>
      <c r="C309" s="35">
        <f>INDEX(Données!$F$2:$L$54,MATCH(F309,Données!$F$2:$F$54,0),2)</f>
        <v>44179</v>
      </c>
      <c r="D309" s="29" t="str">
        <f t="shared" si="9"/>
        <v>Veuillez inscrire votre nom</v>
      </c>
      <c r="E309" s="7">
        <f>Données!H52</f>
        <v>44180</v>
      </c>
      <c r="F309" s="6" t="str">
        <f>INDEX(Données!$F$2:$L$54,MATCH('Portail d''objectifs'!E309,Données!$G$2:$G$54,1),1)</f>
        <v>51</v>
      </c>
      <c r="G309" s="18" t="b">
        <f t="shared" si="10"/>
        <v>0</v>
      </c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1"/>
      <c r="W309" s="75"/>
      <c r="X309" s="75"/>
      <c r="Y309" s="75"/>
      <c r="Z309" s="96">
        <f>SUM(Tableau1[[#This Row],[A-1]:[G-5]])</f>
        <v>0</v>
      </c>
      <c r="AA309" s="96" t="str">
        <f>IF(AND(Z309&gt;0,Tableau1[[#This Row],[CDS]]=""),"Oui","Non")</f>
        <v>Non</v>
      </c>
      <c r="AB309" s="75"/>
      <c r="AC309" s="75"/>
      <c r="AD309" s="75"/>
      <c r="AE309" s="75"/>
      <c r="AF309" s="75"/>
      <c r="AG309" s="75"/>
      <c r="AH309" s="75"/>
      <c r="AI309" s="75"/>
      <c r="AJ309" s="81"/>
      <c r="AK309" s="75"/>
      <c r="AL309" s="75"/>
    </row>
    <row r="310" spans="1:38" hidden="1" x14ac:dyDescent="0.25">
      <c r="A310" s="75"/>
      <c r="B310" s="75"/>
      <c r="C310" s="35">
        <f>INDEX(Données!$F$2:$L$54,MATCH(F310,Données!$F$2:$F$54,0),2)</f>
        <v>44179</v>
      </c>
      <c r="D310" s="29" t="str">
        <f t="shared" si="9"/>
        <v>Veuillez inscrire votre nom</v>
      </c>
      <c r="E310" s="7">
        <f>Données!I52</f>
        <v>44181</v>
      </c>
      <c r="F310" s="6" t="str">
        <f>INDEX(Données!$F$2:$L$54,MATCH('Portail d''objectifs'!E310,Données!$G$2:$G$54,1),1)</f>
        <v>51</v>
      </c>
      <c r="G310" s="18" t="b">
        <f t="shared" si="10"/>
        <v>0</v>
      </c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1"/>
      <c r="W310" s="75"/>
      <c r="X310" s="75"/>
      <c r="Y310" s="75"/>
      <c r="Z310" s="96">
        <f>SUM(Tableau1[[#This Row],[A-1]:[G-5]])</f>
        <v>0</v>
      </c>
      <c r="AA310" s="96" t="str">
        <f>IF(AND(Z310&gt;0,Tableau1[[#This Row],[CDS]]=""),"Oui","Non")</f>
        <v>Non</v>
      </c>
      <c r="AB310" s="75"/>
      <c r="AC310" s="75"/>
      <c r="AD310" s="75"/>
      <c r="AE310" s="75"/>
      <c r="AF310" s="75"/>
      <c r="AG310" s="75"/>
      <c r="AH310" s="75"/>
      <c r="AI310" s="75"/>
      <c r="AJ310" s="81"/>
      <c r="AK310" s="75"/>
      <c r="AL310" s="75"/>
    </row>
    <row r="311" spans="1:38" hidden="1" x14ac:dyDescent="0.25">
      <c r="A311" s="75"/>
      <c r="B311" s="75"/>
      <c r="C311" s="35">
        <f>INDEX(Données!$F$2:$L$54,MATCH(F311,Données!$F$2:$F$54,0),2)</f>
        <v>44179</v>
      </c>
      <c r="D311" s="29" t="str">
        <f t="shared" si="9"/>
        <v>Veuillez inscrire votre nom</v>
      </c>
      <c r="E311" s="7">
        <f>Données!J52</f>
        <v>44182</v>
      </c>
      <c r="F311" s="6" t="str">
        <f>INDEX(Données!$F$2:$L$54,MATCH('Portail d''objectifs'!E311,Données!$G$2:$G$54,1),1)</f>
        <v>51</v>
      </c>
      <c r="G311" s="18" t="b">
        <f t="shared" si="10"/>
        <v>0</v>
      </c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1"/>
      <c r="W311" s="75"/>
      <c r="X311" s="75"/>
      <c r="Y311" s="75"/>
      <c r="Z311" s="96">
        <f>SUM(Tableau1[[#This Row],[A-1]:[G-5]])</f>
        <v>0</v>
      </c>
      <c r="AA311" s="96" t="str">
        <f>IF(AND(Z311&gt;0,Tableau1[[#This Row],[CDS]]=""),"Oui","Non")</f>
        <v>Non</v>
      </c>
      <c r="AB311" s="75"/>
      <c r="AC311" s="75"/>
      <c r="AD311" s="75"/>
      <c r="AE311" s="75"/>
      <c r="AF311" s="75"/>
      <c r="AG311" s="75"/>
      <c r="AH311" s="75"/>
      <c r="AI311" s="75"/>
      <c r="AJ311" s="81"/>
      <c r="AK311" s="75"/>
      <c r="AL311" s="75"/>
    </row>
    <row r="312" spans="1:38" hidden="1" x14ac:dyDescent="0.25">
      <c r="A312" s="75"/>
      <c r="B312" s="75"/>
      <c r="C312" s="35">
        <f>INDEX(Données!$F$2:$L$54,MATCH(F312,Données!$F$2:$F$54,0),2)</f>
        <v>44179</v>
      </c>
      <c r="D312" s="29" t="str">
        <f t="shared" si="9"/>
        <v>Veuillez inscrire votre nom</v>
      </c>
      <c r="E312" s="7">
        <f>Données!K52</f>
        <v>44183</v>
      </c>
      <c r="F312" s="6" t="str">
        <f>INDEX(Données!$F$2:$L$54,MATCH('Portail d''objectifs'!E312,Données!$G$2:$G$54,1),1)</f>
        <v>51</v>
      </c>
      <c r="G312" s="18" t="b">
        <f t="shared" si="10"/>
        <v>0</v>
      </c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1"/>
      <c r="W312" s="75"/>
      <c r="X312" s="75"/>
      <c r="Y312" s="75"/>
      <c r="Z312" s="96">
        <f>SUM(Tableau1[[#This Row],[A-1]:[G-5]])</f>
        <v>0</v>
      </c>
      <c r="AA312" s="96" t="str">
        <f>IF(AND(Z312&gt;0,Tableau1[[#This Row],[CDS]]=""),"Oui","Non")</f>
        <v>Non</v>
      </c>
      <c r="AB312" s="75"/>
      <c r="AC312" s="75"/>
      <c r="AD312" s="75"/>
      <c r="AE312" s="75"/>
      <c r="AF312" s="75"/>
      <c r="AG312" s="75"/>
      <c r="AH312" s="75"/>
      <c r="AI312" s="75"/>
      <c r="AJ312" s="81"/>
      <c r="AK312" s="75"/>
      <c r="AL312" s="75"/>
    </row>
    <row r="313" spans="1:38" hidden="1" x14ac:dyDescent="0.25">
      <c r="A313" s="75"/>
      <c r="B313" s="75"/>
      <c r="C313" s="35">
        <f>INDEX(Données!$F$2:$L$54,MATCH(F313,Données!$F$2:$F$54,0),2)</f>
        <v>44179</v>
      </c>
      <c r="D313" s="29" t="str">
        <f t="shared" si="9"/>
        <v>Veuillez inscrire votre nom</v>
      </c>
      <c r="E313" s="7">
        <f>Données!L52</f>
        <v>44184</v>
      </c>
      <c r="F313" s="6" t="str">
        <f>INDEX(Données!$F$2:$L$54,MATCH('Portail d''objectifs'!E313,Données!$G$2:$G$54,1),1)</f>
        <v>51</v>
      </c>
      <c r="G313" s="18" t="b">
        <f>IF(AND($V$5=1),"PS-1",IF(AND($V$5=2),"PS-2",IF(AND($V$5=4),"PS-4",IF(AND($V$5=6),"S.O.",IF(AND($V$5=5),"")))))</f>
        <v>0</v>
      </c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1"/>
      <c r="W313" s="75"/>
      <c r="X313" s="75"/>
      <c r="Y313" s="75"/>
      <c r="Z313" s="96">
        <f>SUM(Tableau1[[#This Row],[A-1]:[G-5]])</f>
        <v>0</v>
      </c>
      <c r="AA313" s="96" t="str">
        <f>IF(AND(Z313&gt;0,Tableau1[[#This Row],[CDS]]=""),"Oui","Non")</f>
        <v>Non</v>
      </c>
      <c r="AB313" s="75"/>
      <c r="AC313" s="75"/>
      <c r="AD313" s="75"/>
      <c r="AE313" s="75"/>
      <c r="AF313" s="75"/>
      <c r="AG313" s="75"/>
      <c r="AH313" s="75"/>
      <c r="AI313" s="75"/>
      <c r="AJ313" s="81"/>
      <c r="AK313" s="75"/>
      <c r="AL313" s="75"/>
    </row>
    <row r="314" spans="1:38" hidden="1" x14ac:dyDescent="0.25">
      <c r="A314" s="75"/>
      <c r="B314" s="75"/>
      <c r="C314" s="35">
        <f>INDEX(Données!$F$2:$L$54,MATCH(F314,Données!$F$2:$F$54,0),2)</f>
        <v>44186</v>
      </c>
      <c r="D314" s="29" t="str">
        <f t="shared" si="9"/>
        <v>Veuillez inscrire votre nom</v>
      </c>
      <c r="E314" s="7">
        <f>Données!G53</f>
        <v>44186</v>
      </c>
      <c r="F314" s="6" t="str">
        <f>INDEX(Données!$F$2:$L$54,MATCH('Portail d''objectifs'!E314,Données!$G$2:$G$54,1),1)</f>
        <v>52</v>
      </c>
      <c r="G314" s="18" t="b">
        <f t="shared" si="10"/>
        <v>0</v>
      </c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1"/>
      <c r="W314" s="75"/>
      <c r="X314" s="75"/>
      <c r="Y314" s="75"/>
      <c r="Z314" s="96">
        <f>SUM(Tableau1[[#This Row],[A-1]:[G-5]])</f>
        <v>0</v>
      </c>
      <c r="AA314" s="96" t="str">
        <f>IF(AND(Z314&gt;0,Tableau1[[#This Row],[CDS]]=""),"Oui","Non")</f>
        <v>Non</v>
      </c>
      <c r="AB314" s="75"/>
      <c r="AC314" s="75"/>
      <c r="AD314" s="75"/>
      <c r="AE314" s="75"/>
      <c r="AF314" s="75"/>
      <c r="AG314" s="75"/>
      <c r="AH314" s="75"/>
      <c r="AI314" s="75"/>
      <c r="AJ314" s="81"/>
      <c r="AK314" s="75"/>
      <c r="AL314" s="75"/>
    </row>
    <row r="315" spans="1:38" hidden="1" x14ac:dyDescent="0.25">
      <c r="A315" s="75"/>
      <c r="B315" s="75"/>
      <c r="C315" s="35">
        <f>INDEX(Données!$F$2:$L$54,MATCH(F315,Données!$F$2:$F$54,0),2)</f>
        <v>44186</v>
      </c>
      <c r="D315" s="29" t="str">
        <f t="shared" si="9"/>
        <v>Veuillez inscrire votre nom</v>
      </c>
      <c r="E315" s="7">
        <f>Données!H53</f>
        <v>44187</v>
      </c>
      <c r="F315" s="6" t="str">
        <f>INDEX(Données!$F$2:$L$54,MATCH('Portail d''objectifs'!E315,Données!$G$2:$G$54,1),1)</f>
        <v>52</v>
      </c>
      <c r="G315" s="18" t="b">
        <f t="shared" si="10"/>
        <v>0</v>
      </c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1"/>
      <c r="W315" s="75"/>
      <c r="X315" s="75"/>
      <c r="Y315" s="75"/>
      <c r="Z315" s="96">
        <f>SUM(Tableau1[[#This Row],[A-1]:[G-5]])</f>
        <v>0</v>
      </c>
      <c r="AA315" s="96" t="str">
        <f>IF(AND(Z315&gt;0,Tableau1[[#This Row],[CDS]]=""),"Oui","Non")</f>
        <v>Non</v>
      </c>
      <c r="AB315" s="75"/>
      <c r="AC315" s="75"/>
      <c r="AD315" s="75"/>
      <c r="AE315" s="75"/>
      <c r="AF315" s="75"/>
      <c r="AG315" s="75"/>
      <c r="AH315" s="75"/>
      <c r="AI315" s="75"/>
      <c r="AJ315" s="81"/>
      <c r="AK315" s="75"/>
      <c r="AL315" s="75"/>
    </row>
    <row r="316" spans="1:38" hidden="1" x14ac:dyDescent="0.25">
      <c r="A316" s="75"/>
      <c r="B316" s="75"/>
      <c r="C316" s="35">
        <f>INDEX(Données!$F$2:$L$54,MATCH(F316,Données!$F$2:$F$54,0),2)</f>
        <v>44186</v>
      </c>
      <c r="D316" s="29" t="str">
        <f t="shared" si="9"/>
        <v>Veuillez inscrire votre nom</v>
      </c>
      <c r="E316" s="7">
        <f>Données!I53</f>
        <v>44188</v>
      </c>
      <c r="F316" s="6" t="str">
        <f>INDEX(Données!$F$2:$L$54,MATCH('Portail d''objectifs'!E316,Données!$G$2:$G$54,1),1)</f>
        <v>52</v>
      </c>
      <c r="G316" s="18" t="b">
        <f t="shared" si="10"/>
        <v>0</v>
      </c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1"/>
      <c r="W316" s="75"/>
      <c r="X316" s="75"/>
      <c r="Y316" s="75"/>
      <c r="Z316" s="96">
        <f>SUM(Tableau1[[#This Row],[A-1]:[G-5]])</f>
        <v>0</v>
      </c>
      <c r="AA316" s="96" t="str">
        <f>IF(AND(Z316&gt;0,Tableau1[[#This Row],[CDS]]=""),"Oui","Non")</f>
        <v>Non</v>
      </c>
      <c r="AB316" s="75"/>
      <c r="AC316" s="75"/>
      <c r="AD316" s="75"/>
      <c r="AE316" s="75"/>
      <c r="AF316" s="75"/>
      <c r="AG316" s="75"/>
      <c r="AH316" s="75"/>
      <c r="AI316" s="75"/>
      <c r="AJ316" s="81"/>
      <c r="AK316" s="75"/>
      <c r="AL316" s="75"/>
    </row>
    <row r="317" spans="1:38" hidden="1" x14ac:dyDescent="0.25">
      <c r="A317" s="75"/>
      <c r="B317" s="75"/>
      <c r="C317" s="35">
        <f>INDEX(Données!$F$2:$L$54,MATCH(F317,Données!$F$2:$F$54,0),2)</f>
        <v>44186</v>
      </c>
      <c r="D317" s="29" t="str">
        <f t="shared" si="9"/>
        <v>Veuillez inscrire votre nom</v>
      </c>
      <c r="E317" s="7">
        <f>Données!J53</f>
        <v>44189</v>
      </c>
      <c r="F317" s="6" t="str">
        <f>INDEX(Données!$F$2:$L$54,MATCH('Portail d''objectifs'!E317,Données!$G$2:$G$54,1),1)</f>
        <v>52</v>
      </c>
      <c r="G317" s="18" t="b">
        <f t="shared" si="10"/>
        <v>0</v>
      </c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1"/>
      <c r="W317" s="75"/>
      <c r="X317" s="75"/>
      <c r="Y317" s="75"/>
      <c r="Z317" s="96">
        <f>SUM(Tableau1[[#This Row],[A-1]:[G-5]])</f>
        <v>0</v>
      </c>
      <c r="AA317" s="96" t="str">
        <f>IF(AND(Z317&gt;0,Tableau1[[#This Row],[CDS]]=""),"Oui","Non")</f>
        <v>Non</v>
      </c>
      <c r="AB317" s="75"/>
      <c r="AC317" s="75"/>
      <c r="AD317" s="75"/>
      <c r="AE317" s="75"/>
      <c r="AF317" s="75"/>
      <c r="AG317" s="75"/>
      <c r="AH317" s="75"/>
      <c r="AI317" s="75"/>
      <c r="AJ317" s="81"/>
      <c r="AK317" s="75"/>
      <c r="AL317" s="75"/>
    </row>
    <row r="318" spans="1:38" hidden="1" x14ac:dyDescent="0.25">
      <c r="A318" s="75"/>
      <c r="B318" s="75"/>
      <c r="C318" s="35">
        <f>INDEX(Données!$F$2:$L$54,MATCH(F318,Données!$F$2:$F$54,0),2)</f>
        <v>44186</v>
      </c>
      <c r="D318" s="29" t="str">
        <f t="shared" si="9"/>
        <v>Veuillez inscrire votre nom</v>
      </c>
      <c r="E318" s="7">
        <f>Données!K53</f>
        <v>44190</v>
      </c>
      <c r="F318" s="6" t="str">
        <f>INDEX(Données!$F$2:$L$54,MATCH('Portail d''objectifs'!E318,Données!$G$2:$G$54,1),1)</f>
        <v>52</v>
      </c>
      <c r="G318" s="18" t="b">
        <f t="shared" si="10"/>
        <v>0</v>
      </c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1"/>
      <c r="W318" s="75"/>
      <c r="X318" s="75"/>
      <c r="Y318" s="75"/>
      <c r="Z318" s="96">
        <f>SUM(Tableau1[[#This Row],[A-1]:[G-5]])</f>
        <v>0</v>
      </c>
      <c r="AA318" s="96" t="str">
        <f>IF(AND(Z318&gt;0,Tableau1[[#This Row],[CDS]]=""),"Oui","Non")</f>
        <v>Non</v>
      </c>
      <c r="AB318" s="75"/>
      <c r="AC318" s="75"/>
      <c r="AD318" s="75"/>
      <c r="AE318" s="75"/>
      <c r="AF318" s="75"/>
      <c r="AG318" s="75"/>
      <c r="AH318" s="75"/>
      <c r="AI318" s="75"/>
      <c r="AJ318" s="81"/>
      <c r="AK318" s="75"/>
      <c r="AL318" s="75"/>
    </row>
    <row r="319" spans="1:38" hidden="1" x14ac:dyDescent="0.25">
      <c r="A319" s="75"/>
      <c r="B319" s="75"/>
      <c r="C319" s="35">
        <f>INDEX(Données!$F$2:$L$54,MATCH(F319,Données!$F$2:$F$54,0),2)</f>
        <v>44186</v>
      </c>
      <c r="D319" s="29" t="str">
        <f t="shared" si="9"/>
        <v>Veuillez inscrire votre nom</v>
      </c>
      <c r="E319" s="7">
        <f>Données!L53</f>
        <v>44191</v>
      </c>
      <c r="F319" s="6" t="str">
        <f>INDEX(Données!$F$2:$L$54,MATCH('Portail d''objectifs'!E319,Données!$G$2:$G$54,1),1)</f>
        <v>52</v>
      </c>
      <c r="G319" s="18" t="b">
        <f t="shared" si="10"/>
        <v>0</v>
      </c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1"/>
      <c r="W319" s="75"/>
      <c r="X319" s="75"/>
      <c r="Y319" s="75"/>
      <c r="Z319" s="96">
        <f>SUM(Tableau1[[#This Row],[A-1]:[G-5]])</f>
        <v>0</v>
      </c>
      <c r="AA319" s="96" t="str">
        <f>IF(AND(Z319&gt;0,Tableau1[[#This Row],[CDS]]=""),"Oui","Non")</f>
        <v>Non</v>
      </c>
      <c r="AB319" s="75"/>
      <c r="AC319" s="75"/>
      <c r="AD319" s="75"/>
      <c r="AE319" s="75"/>
      <c r="AF319" s="75"/>
      <c r="AG319" s="75"/>
      <c r="AH319" s="75"/>
      <c r="AI319" s="75"/>
      <c r="AJ319" s="81"/>
      <c r="AK319" s="75"/>
      <c r="AL319" s="75"/>
    </row>
    <row r="320" spans="1:38" hidden="1" x14ac:dyDescent="0.25">
      <c r="A320" s="75"/>
      <c r="B320" s="75"/>
      <c r="C320" s="35">
        <f>INDEX(Données!$F$2:$L$54,MATCH(F320,Données!$F$2:$F$54,0),2)</f>
        <v>44193</v>
      </c>
      <c r="D320" s="29" t="str">
        <f t="shared" si="9"/>
        <v>Veuillez inscrire votre nom</v>
      </c>
      <c r="E320" s="7">
        <f>Données!G54</f>
        <v>44193</v>
      </c>
      <c r="F320" s="6" t="str">
        <f>INDEX(Données!$F$2:$L$54,MATCH('Portail d''objectifs'!E320,Données!$G$2:$G$54,1),1)</f>
        <v>53</v>
      </c>
      <c r="G320" s="18" t="b">
        <f t="shared" si="10"/>
        <v>0</v>
      </c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1"/>
      <c r="W320" s="75"/>
      <c r="X320" s="75"/>
      <c r="Y320" s="75"/>
      <c r="Z320" s="96">
        <f>SUM(Tableau1[[#This Row],[A-1]:[G-5]])</f>
        <v>0</v>
      </c>
      <c r="AA320" s="96" t="str">
        <f>IF(AND(Z320&gt;0,Tableau1[[#This Row],[CDS]]=""),"Oui","Non")</f>
        <v>Non</v>
      </c>
      <c r="AB320" s="75"/>
      <c r="AC320" s="75"/>
      <c r="AD320" s="75"/>
      <c r="AE320" s="75"/>
      <c r="AF320" s="75"/>
      <c r="AG320" s="75"/>
      <c r="AH320" s="75"/>
      <c r="AI320" s="75"/>
      <c r="AJ320" s="81"/>
      <c r="AK320" s="75"/>
      <c r="AL320" s="75"/>
    </row>
    <row r="321" spans="1:38" hidden="1" x14ac:dyDescent="0.25">
      <c r="A321" s="75"/>
      <c r="B321" s="75"/>
      <c r="C321" s="35">
        <f>INDEX(Données!$F$2:$L$54,MATCH(F321,Données!$F$2:$F$54,0),2)</f>
        <v>44193</v>
      </c>
      <c r="D321" s="29" t="str">
        <f t="shared" si="9"/>
        <v>Veuillez inscrire votre nom</v>
      </c>
      <c r="E321" s="7">
        <f>Données!H54</f>
        <v>44194</v>
      </c>
      <c r="F321" s="6" t="str">
        <f>INDEX(Données!$F$2:$L$54,MATCH('Portail d''objectifs'!E321,Données!$G$2:$G$54,1),1)</f>
        <v>53</v>
      </c>
      <c r="G321" s="18" t="b">
        <f>IF(AND($V$5=1),"PS-1",IF(AND($V$5=2),"PS-2",IF(AND($V$5=4),"PS-4",IF(AND($V$5=6),"S.O.",IF(AND($V$5=5),"")))))</f>
        <v>0</v>
      </c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1"/>
      <c r="W321" s="75"/>
      <c r="X321" s="75"/>
      <c r="Y321" s="75"/>
      <c r="Z321" s="96">
        <f>SUM(Tableau1[[#This Row],[A-1]:[G-5]])</f>
        <v>0</v>
      </c>
      <c r="AA321" s="96" t="str">
        <f>IF(AND(Z321&gt;0,Tableau1[[#This Row],[CDS]]=""),"Oui","Non")</f>
        <v>Non</v>
      </c>
      <c r="AB321" s="75"/>
      <c r="AC321" s="75"/>
      <c r="AD321" s="75"/>
      <c r="AE321" s="75"/>
      <c r="AF321" s="75"/>
      <c r="AG321" s="75"/>
      <c r="AH321" s="75"/>
      <c r="AI321" s="75"/>
      <c r="AJ321" s="81"/>
      <c r="AK321" s="75"/>
      <c r="AL321" s="75"/>
    </row>
    <row r="322" spans="1:38" hidden="1" x14ac:dyDescent="0.25">
      <c r="A322" s="75"/>
      <c r="B322" s="75"/>
      <c r="C322" s="35">
        <f>INDEX(Données!$F$2:$L$54,MATCH(F322,Données!$F$2:$F$54,0),2)</f>
        <v>44193</v>
      </c>
      <c r="D322" s="29" t="str">
        <f t="shared" si="9"/>
        <v>Veuillez inscrire votre nom</v>
      </c>
      <c r="E322" s="7">
        <f>Données!I54</f>
        <v>44195</v>
      </c>
      <c r="F322" s="6" t="str">
        <f>INDEX(Données!$F$2:$L$54,MATCH('Portail d''objectifs'!E322,Données!$G$2:$G$54,1),1)</f>
        <v>53</v>
      </c>
      <c r="G322" s="18" t="b">
        <f t="shared" si="10"/>
        <v>0</v>
      </c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1"/>
      <c r="W322" s="75"/>
      <c r="X322" s="75"/>
      <c r="Y322" s="75"/>
      <c r="Z322" s="96">
        <f>SUM(Tableau1[[#This Row],[A-1]:[G-5]])</f>
        <v>0</v>
      </c>
      <c r="AA322" s="96" t="str">
        <f>IF(AND(Z322&gt;0,Tableau1[[#This Row],[CDS]]=""),"Oui","Non")</f>
        <v>Non</v>
      </c>
      <c r="AB322" s="75"/>
      <c r="AC322" s="75"/>
      <c r="AD322" s="75"/>
      <c r="AE322" s="75"/>
      <c r="AF322" s="75"/>
      <c r="AG322" s="75"/>
      <c r="AH322" s="75"/>
      <c r="AI322" s="75"/>
      <c r="AJ322" s="81"/>
      <c r="AK322" s="75"/>
      <c r="AL322" s="75"/>
    </row>
    <row r="323" spans="1:38" hidden="1" x14ac:dyDescent="0.25">
      <c r="A323" s="75"/>
      <c r="B323" s="75"/>
      <c r="C323" s="35">
        <f>INDEX(Données!$F$2:$L$54,MATCH(F323,Données!$F$2:$F$54,0),2)</f>
        <v>44193</v>
      </c>
      <c r="D323" s="29" t="str">
        <f t="shared" si="9"/>
        <v>Veuillez inscrire votre nom</v>
      </c>
      <c r="E323" s="7">
        <f>Données!J54</f>
        <v>44196</v>
      </c>
      <c r="F323" s="6" t="str">
        <f>INDEX(Données!$F$2:$L$54,MATCH('Portail d''objectifs'!E323,Données!$G$2:$G$54,1),1)</f>
        <v>53</v>
      </c>
      <c r="G323" s="18" t="b">
        <f t="shared" si="10"/>
        <v>0</v>
      </c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1"/>
      <c r="W323" s="75"/>
      <c r="X323" s="75"/>
      <c r="Y323" s="75"/>
      <c r="Z323" s="96">
        <f>SUM(Tableau1[[#This Row],[A-1]:[G-5]])</f>
        <v>0</v>
      </c>
      <c r="AA323" s="96" t="str">
        <f>IF(AND(Z323&gt;0,Tableau1[[#This Row],[CDS]]=""),"Oui","Non")</f>
        <v>Non</v>
      </c>
      <c r="AB323" s="75"/>
      <c r="AC323" s="75"/>
      <c r="AD323" s="75"/>
      <c r="AE323" s="75"/>
      <c r="AF323" s="75"/>
      <c r="AG323" s="75"/>
      <c r="AH323" s="75"/>
      <c r="AI323" s="75"/>
      <c r="AJ323" s="81"/>
      <c r="AK323" s="75"/>
      <c r="AL323" s="75"/>
    </row>
    <row r="324" spans="1:38" hidden="1" x14ac:dyDescent="0.25">
      <c r="A324" s="75"/>
      <c r="B324" s="75"/>
      <c r="C324" s="35">
        <f>INDEX(Données!$F$2:$L$54,MATCH(F324,Données!$F$2:$F$54,0),2)</f>
        <v>44193</v>
      </c>
      <c r="D324" s="29" t="str">
        <f t="shared" si="9"/>
        <v>Veuillez inscrire votre nom</v>
      </c>
      <c r="E324" s="7">
        <f>Données!K54</f>
        <v>44197</v>
      </c>
      <c r="F324" s="6" t="str">
        <f>INDEX(Données!$F$2:$L$54,MATCH('Portail d''objectifs'!E324,Données!$G$2:$G$54,1),1)</f>
        <v>53</v>
      </c>
      <c r="G324" s="18" t="b">
        <f t="shared" si="10"/>
        <v>0</v>
      </c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1"/>
      <c r="W324" s="75"/>
      <c r="X324" s="75"/>
      <c r="Y324" s="75"/>
      <c r="Z324" s="96">
        <f>SUM(Tableau1[[#This Row],[A-1]:[G-5]])</f>
        <v>0</v>
      </c>
      <c r="AA324" s="96" t="str">
        <f>IF(AND(Z324&gt;0,Tableau1[[#This Row],[CDS]]=""),"Oui","Non")</f>
        <v>Non</v>
      </c>
      <c r="AB324" s="75"/>
      <c r="AC324" s="75"/>
      <c r="AD324" s="75"/>
      <c r="AE324" s="75"/>
      <c r="AF324" s="75"/>
      <c r="AG324" s="75"/>
      <c r="AH324" s="75"/>
      <c r="AI324" s="75"/>
      <c r="AJ324" s="81"/>
      <c r="AK324" s="75"/>
      <c r="AL324" s="75"/>
    </row>
    <row r="325" spans="1:38" hidden="1" x14ac:dyDescent="0.25">
      <c r="A325" s="75"/>
      <c r="B325" s="75"/>
      <c r="C325" s="35">
        <f>INDEX(Données!$F$2:$L$54,MATCH(F325,Données!$F$2:$F$54,0),2)</f>
        <v>44193</v>
      </c>
      <c r="D325" s="29" t="str">
        <f t="shared" si="9"/>
        <v>Veuillez inscrire votre nom</v>
      </c>
      <c r="E325" s="8">
        <f>Données!L54</f>
        <v>44198</v>
      </c>
      <c r="F325" s="9" t="str">
        <f>INDEX(Données!$F$2:$L$54,MATCH('Portail d''objectifs'!E325,Données!$G$2:$G$54,1),1)</f>
        <v>53</v>
      </c>
      <c r="G325" s="18" t="b">
        <f t="shared" si="10"/>
        <v>0</v>
      </c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3"/>
      <c r="W325" s="75"/>
      <c r="X325" s="75"/>
      <c r="Y325" s="75"/>
      <c r="Z325" s="96">
        <f>SUM(Tableau1[[#This Row],[A-1]:[G-5]])</f>
        <v>0</v>
      </c>
      <c r="AA325" s="96" t="str">
        <f>IF(AND(Z325&gt;0,Tableau1[[#This Row],[CDS]]=""),"Oui","Non")</f>
        <v>Non</v>
      </c>
      <c r="AB325" s="75"/>
      <c r="AC325" s="75"/>
      <c r="AD325" s="75"/>
      <c r="AE325" s="75"/>
      <c r="AF325" s="75"/>
      <c r="AG325" s="75"/>
      <c r="AH325" s="75"/>
      <c r="AI325" s="75"/>
      <c r="AJ325" s="81"/>
      <c r="AK325" s="75"/>
      <c r="AL325" s="75"/>
    </row>
    <row r="326" spans="1:38" x14ac:dyDescent="0.25">
      <c r="A326" s="75"/>
      <c r="B326" s="75"/>
      <c r="C326" s="51"/>
      <c r="D326" s="31"/>
      <c r="E326" s="157" t="s">
        <v>84</v>
      </c>
      <c r="F326" s="158"/>
      <c r="G326" s="159"/>
      <c r="H326" s="11">
        <f>SUMIF(Tableau1[CDS],"S.O.",Tableau1[A-1])</f>
        <v>0</v>
      </c>
      <c r="I326" s="11">
        <f>SUMIF(Tableau1[CDS],"S.O.",Tableau1[B-1])</f>
        <v>0</v>
      </c>
      <c r="J326" s="11">
        <f>SUMIF(Tableau1[CDS],"S.O.",Tableau1[B-2])</f>
        <v>0</v>
      </c>
      <c r="K326" s="11">
        <f>SUMIF(Tableau1[CDS],"S.O.",Tableau1[C-1])</f>
        <v>0</v>
      </c>
      <c r="L326" s="11">
        <f>SUMIF(Tableau1[CDS],"S.O.",Tableau1[C-2])</f>
        <v>0</v>
      </c>
      <c r="M326" s="11">
        <f>SUMIF(Tableau1[CDS],"S.O.",Tableau1[D-1])</f>
        <v>0</v>
      </c>
      <c r="N326" s="11">
        <f>SUMIF(Tableau1[CDS],"S.O.",Tableau1[D-2])</f>
        <v>0</v>
      </c>
      <c r="O326" s="11">
        <f>SUMIF(Tableau1[CDS],"S.O.",Tableau1[E-1])</f>
        <v>0</v>
      </c>
      <c r="P326" s="11">
        <f>SUMIF(Tableau1[CDS],"S.O.",Tableau1[E2])</f>
        <v>0</v>
      </c>
      <c r="Q326" s="11">
        <f>SUMIF(Tableau1[CDS],"S.O.",Tableau1[G-1])</f>
        <v>0</v>
      </c>
      <c r="R326" s="11">
        <f>SUMIF(Tableau1[CDS],"S.O.",Tableau1[G-2])</f>
        <v>0</v>
      </c>
      <c r="S326" s="11">
        <f>SUMIF(Tableau1[CDS],"S.O.",Tableau1[G-3])</f>
        <v>0</v>
      </c>
      <c r="T326" s="11">
        <f>SUMIF(Tableau1[CDS],"S.O.",Tableau1[G-4])</f>
        <v>0</v>
      </c>
      <c r="U326" s="11">
        <f>SUMIF(Tableau1[CDS],"S.O.",Tableau1[G-5])</f>
        <v>0</v>
      </c>
      <c r="V326" s="52"/>
      <c r="W326" s="75"/>
      <c r="X326" s="75"/>
      <c r="Y326" s="75"/>
      <c r="Z326" s="96"/>
      <c r="AA326" s="96"/>
      <c r="AB326" s="75"/>
      <c r="AC326" s="75"/>
      <c r="AD326" s="75"/>
      <c r="AE326" s="75"/>
      <c r="AF326" s="75"/>
      <c r="AG326" s="75"/>
      <c r="AH326" s="75"/>
      <c r="AI326" s="75"/>
      <c r="AJ326" s="81"/>
      <c r="AK326" s="75"/>
      <c r="AL326" s="75"/>
    </row>
    <row r="327" spans="1:38" x14ac:dyDescent="0.25">
      <c r="A327" s="75"/>
      <c r="B327" s="75"/>
      <c r="C327" s="8"/>
      <c r="D327" s="30"/>
      <c r="E327" s="57" t="s">
        <v>121</v>
      </c>
      <c r="F327" s="53"/>
      <c r="G327" s="87"/>
      <c r="H327" s="148">
        <f>SUMIF(Tableau1[CDS],"PS-1",Tableau1[A-1])</f>
        <v>0</v>
      </c>
      <c r="I327" s="148">
        <f>SUMIF(Tableau1[CDS],"PS-1",Tableau1[B-1])</f>
        <v>0</v>
      </c>
      <c r="J327" s="148">
        <f>SUMIF(Tableau1[CDS],"PS-1",Tableau1[B-2])</f>
        <v>0</v>
      </c>
      <c r="K327" s="148">
        <f>SUMIF(Tableau1[CDS],"PS-1",Tableau1[C-1])</f>
        <v>0</v>
      </c>
      <c r="L327" s="148">
        <f>SUMIF(Tableau1[CDS],"PS-1",Tableau1[C-2])</f>
        <v>0</v>
      </c>
      <c r="M327" s="148">
        <f>SUMIF(Tableau1[CDS],"PS-1",Tableau1[D-1])</f>
        <v>0</v>
      </c>
      <c r="N327" s="148">
        <f>SUMIF(Tableau1[CDS],"PS-1",Tableau1[D-2])</f>
        <v>0</v>
      </c>
      <c r="O327" s="148">
        <f>SUMIF(Tableau1[CDS],"PS-1",Tableau1[E-1])</f>
        <v>0</v>
      </c>
      <c r="P327" s="148">
        <f>SUMIF(Tableau1[CDS],"PS-1",Tableau1[E2])</f>
        <v>0</v>
      </c>
      <c r="Q327" s="148">
        <f>SUMIF(Tableau1[CDS],"PS-1",Tableau1[G-1])</f>
        <v>0</v>
      </c>
      <c r="R327" s="148">
        <f>SUMIF(Tableau1[CDS],"PS-1",Tableau1[G-2])</f>
        <v>0</v>
      </c>
      <c r="S327" s="148">
        <f>SUMIF(Tableau1[CDS],"PS-1",Tableau1[G-3])</f>
        <v>0</v>
      </c>
      <c r="T327" s="148">
        <f>SUMIF(Tableau1[CDS],"PS-1",Tableau1[G-4])</f>
        <v>0</v>
      </c>
      <c r="U327" s="148">
        <f>SUMIF(Tableau1[CDS],"PS-1",Tableau1[G-5])</f>
        <v>0</v>
      </c>
      <c r="V327" s="90"/>
      <c r="W327" s="75"/>
      <c r="X327" s="75"/>
      <c r="Y327" s="75"/>
      <c r="Z327" s="96" t="e">
        <f>SUM(Tableau1[[#This Row],[A-1]:[G-5]])</f>
        <v>#VALUE!</v>
      </c>
      <c r="AA327" s="96" t="e">
        <f>IF(AND(Z327&lt;0,Tableau1[[#This Row],[CDS]]=""),"Oui","Non")</f>
        <v>#VALUE!</v>
      </c>
      <c r="AB327" s="75"/>
      <c r="AC327" s="75"/>
      <c r="AD327" s="75"/>
      <c r="AE327" s="75"/>
      <c r="AF327" s="75"/>
      <c r="AG327" s="75"/>
      <c r="AH327" s="75"/>
      <c r="AI327" s="75"/>
      <c r="AJ327" s="81"/>
      <c r="AK327" s="75"/>
      <c r="AL327" s="75"/>
    </row>
    <row r="328" spans="1:38" x14ac:dyDescent="0.25">
      <c r="A328" s="75"/>
      <c r="B328" s="75"/>
      <c r="C328" s="8"/>
      <c r="D328" s="30"/>
      <c r="E328" s="57" t="s">
        <v>122</v>
      </c>
      <c r="F328" s="53"/>
      <c r="G328" s="87"/>
      <c r="H328" s="148">
        <f>SUMIF(Tableau1[CDS],"PS-2",Tableau1[A-1])</f>
        <v>0</v>
      </c>
      <c r="I328" s="148">
        <f>SUMIF(Tableau1[CDS],"PS-2",Tableau1[B-1])</f>
        <v>0</v>
      </c>
      <c r="J328" s="148">
        <f>SUMIF(Tableau1[CDS],"PS-2",Tableau1[B-2])</f>
        <v>0</v>
      </c>
      <c r="K328" s="148">
        <f>SUMIF(Tableau1[CDS],"PS-2",Tableau1[C-1])</f>
        <v>0</v>
      </c>
      <c r="L328" s="148">
        <f>SUMIF(Tableau1[CDS],"PS-2",Tableau1[C-2])</f>
        <v>0</v>
      </c>
      <c r="M328" s="148">
        <f>SUMIF(Tableau1[CDS],"PS-2",Tableau1[D-1])</f>
        <v>0</v>
      </c>
      <c r="N328" s="148">
        <f>SUMIF(Tableau1[CDS],"PS-2",Tableau1[D-2])</f>
        <v>0</v>
      </c>
      <c r="O328" s="148">
        <f>SUMIF(Tableau1[CDS],"PS-2",Tableau1[E-1])</f>
        <v>0</v>
      </c>
      <c r="P328" s="148">
        <f>SUMIF(Tableau1[CDS],"PS-2",Tableau1[E2])</f>
        <v>0</v>
      </c>
      <c r="Q328" s="148">
        <f>SUMIF(Tableau1[CDS],"PS-2",Tableau1[G-1])</f>
        <v>0</v>
      </c>
      <c r="R328" s="148">
        <f>SUMIF(Tableau1[CDS],"PS-2",Tableau1[G-2])</f>
        <v>0</v>
      </c>
      <c r="S328" s="148">
        <f>SUMIF(Tableau1[CDS],"PS-2",Tableau1[G-3])</f>
        <v>0</v>
      </c>
      <c r="T328" s="148">
        <f>SUMIF(Tableau1[CDS],"PS-2",Tableau1[G-4])</f>
        <v>0</v>
      </c>
      <c r="U328" s="148">
        <f>SUMIF(Tableau1[CDS],"PS-2",Tableau1[G-5])</f>
        <v>0</v>
      </c>
      <c r="V328" s="90"/>
      <c r="W328" s="75"/>
      <c r="X328" s="75"/>
      <c r="Y328" s="75"/>
      <c r="Z328" s="96" t="e">
        <f>SUM(Tableau1[[#This Row],[A-1]:[G-5]])</f>
        <v>#VALUE!</v>
      </c>
      <c r="AA328" s="96" t="e">
        <f>IF(AND(Z328&lt;0,Tableau1[[#This Row],[CDS]]=""),"Oui","Non")</f>
        <v>#VALUE!</v>
      </c>
      <c r="AB328" s="75"/>
      <c r="AC328" s="75"/>
      <c r="AD328" s="75"/>
      <c r="AE328" s="75"/>
      <c r="AF328" s="75"/>
      <c r="AG328" s="75"/>
      <c r="AH328" s="75"/>
      <c r="AI328" s="75"/>
      <c r="AJ328" s="81"/>
      <c r="AK328" s="75"/>
      <c r="AL328" s="75"/>
    </row>
    <row r="329" spans="1:38" ht="15.75" thickBot="1" x14ac:dyDescent="0.3">
      <c r="A329" s="75"/>
      <c r="B329" s="75"/>
      <c r="C329" s="35"/>
      <c r="D329" s="29"/>
      <c r="E329" s="59" t="s">
        <v>123</v>
      </c>
      <c r="F329" s="60"/>
      <c r="G329" s="88"/>
      <c r="H329" s="149">
        <f>SUMIF(Tableau1[CDS],"PS-4",Tableau1[A-1])</f>
        <v>0</v>
      </c>
      <c r="I329" s="149">
        <f>SUMIF(Tableau1[CDS],"PS-4",Tableau1[B-1])</f>
        <v>0</v>
      </c>
      <c r="J329" s="148">
        <f>SUMIF(Tableau1[CDS],"PS-4",Tableau1[B-2])</f>
        <v>0</v>
      </c>
      <c r="K329" s="149">
        <f>SUMIF(Tableau1[CDS],"PS-4",Tableau1[C-1])</f>
        <v>0</v>
      </c>
      <c r="L329" s="148">
        <f>SUMIF(Tableau1[CDS],"PS-4",Tableau1[C-2])</f>
        <v>0</v>
      </c>
      <c r="M329" s="148">
        <f>SUMIF(Tableau1[CDS],"PS-4",Tableau1[D-1])</f>
        <v>0</v>
      </c>
      <c r="N329" s="148">
        <f>SUMIF(Tableau1[CDS],"PS-4",Tableau1[D-2])</f>
        <v>0</v>
      </c>
      <c r="O329" s="149">
        <f>SUMIF(Tableau1[CDS],"PS-4",Tableau1[E-1])</f>
        <v>0</v>
      </c>
      <c r="P329" s="149">
        <f>SUMIF(Tableau1[CDS],"PS-4",Tableau1[E2])</f>
        <v>0</v>
      </c>
      <c r="Q329" s="148">
        <f>SUMIF(Tableau1[CDS],"PS-4",Tableau1[G-1])</f>
        <v>0</v>
      </c>
      <c r="R329" s="148">
        <f>SUMIF(Tableau1[CDS],"PS-4",Tableau1[G-2])</f>
        <v>0</v>
      </c>
      <c r="S329" s="148">
        <f>SUMIF(Tableau1[CDS],"PS-4",Tableau1[G-3])</f>
        <v>0</v>
      </c>
      <c r="T329" s="148">
        <f>SUMIF(Tableau1[CDS],"PS-4",Tableau1[G-4])</f>
        <v>0</v>
      </c>
      <c r="U329" s="149">
        <f>SUMIF(Tableau1[CDS],"PS-4",Tableau1[G-5])</f>
        <v>0</v>
      </c>
      <c r="V329" s="91"/>
      <c r="W329" s="75"/>
      <c r="X329" s="75"/>
      <c r="Y329" s="75"/>
      <c r="Z329" s="96" t="e">
        <f>SUM(Tableau1[[#This Row],[A-1]:[G-5]])</f>
        <v>#VALUE!</v>
      </c>
      <c r="AA329" s="96" t="e">
        <f>IF(AND(Z329&lt;0,Tableau1[[#This Row],[CDS]]=""),"Oui","Non")</f>
        <v>#VALUE!</v>
      </c>
      <c r="AB329" s="75"/>
      <c r="AC329" s="75"/>
      <c r="AD329" s="75"/>
      <c r="AE329" s="75"/>
      <c r="AF329" s="75"/>
      <c r="AG329" s="75"/>
      <c r="AH329" s="75"/>
      <c r="AI329" s="75"/>
      <c r="AJ329" s="81"/>
      <c r="AK329" s="75"/>
      <c r="AL329" s="75"/>
    </row>
    <row r="330" spans="1:38" x14ac:dyDescent="0.25">
      <c r="A330" s="75"/>
      <c r="B330" s="75"/>
      <c r="C330" s="35"/>
      <c r="D330" s="31"/>
      <c r="E330" s="61" t="s">
        <v>16</v>
      </c>
      <c r="F330" s="62"/>
      <c r="G330" s="89"/>
      <c r="H330" s="63">
        <f t="shared" ref="H330:U330" si="11">SUM(H326:H329)</f>
        <v>0</v>
      </c>
      <c r="I330" s="63">
        <f t="shared" si="11"/>
        <v>0</v>
      </c>
      <c r="J330" s="63">
        <f>SUM(J326:J329)</f>
        <v>0</v>
      </c>
      <c r="K330" s="63">
        <f t="shared" si="11"/>
        <v>0</v>
      </c>
      <c r="L330" s="63">
        <f t="shared" si="11"/>
        <v>0</v>
      </c>
      <c r="M330" s="63">
        <f t="shared" si="11"/>
        <v>0</v>
      </c>
      <c r="N330" s="63">
        <f t="shared" si="11"/>
        <v>0</v>
      </c>
      <c r="O330" s="63">
        <f t="shared" si="11"/>
        <v>0</v>
      </c>
      <c r="P330" s="63">
        <f t="shared" si="11"/>
        <v>0</v>
      </c>
      <c r="Q330" s="63">
        <f t="shared" si="11"/>
        <v>0</v>
      </c>
      <c r="R330" s="63">
        <f t="shared" si="11"/>
        <v>0</v>
      </c>
      <c r="S330" s="63">
        <f t="shared" si="11"/>
        <v>0</v>
      </c>
      <c r="T330" s="63">
        <f t="shared" si="11"/>
        <v>0</v>
      </c>
      <c r="U330" s="63">
        <f t="shared" si="11"/>
        <v>0</v>
      </c>
      <c r="V330" s="92"/>
      <c r="W330" s="75"/>
      <c r="X330" s="75"/>
      <c r="Y330" s="75"/>
      <c r="Z330" s="96"/>
      <c r="AA330" s="96"/>
      <c r="AB330" s="75"/>
      <c r="AC330" s="75"/>
      <c r="AD330" s="75"/>
      <c r="AE330" s="75"/>
      <c r="AF330" s="75"/>
      <c r="AG330" s="75"/>
      <c r="AH330" s="75"/>
      <c r="AI330" s="75"/>
      <c r="AJ330" s="81"/>
      <c r="AK330" s="75"/>
      <c r="AL330" s="75"/>
    </row>
    <row r="331" spans="1:38" x14ac:dyDescent="0.25">
      <c r="A331" s="75"/>
      <c r="B331" s="75"/>
      <c r="C331" s="36"/>
      <c r="D331" s="37"/>
      <c r="E331" s="58" t="s">
        <v>17</v>
      </c>
      <c r="F331" s="54"/>
      <c r="G331" s="87"/>
      <c r="H331" s="55">
        <f>H5-H330</f>
        <v>0</v>
      </c>
      <c r="I331" s="186">
        <f>I5-J330</f>
        <v>0</v>
      </c>
      <c r="J331" s="187"/>
      <c r="K331" s="186">
        <f>K5-L330</f>
        <v>0</v>
      </c>
      <c r="L331" s="187"/>
      <c r="M331" s="55">
        <f>M5-M330</f>
        <v>0</v>
      </c>
      <c r="N331" s="55">
        <f>M5-N330</f>
        <v>0</v>
      </c>
      <c r="O331" s="186">
        <f>O5-(O330+P330)</f>
        <v>0</v>
      </c>
      <c r="P331" s="187"/>
      <c r="Q331" s="186">
        <f>Q5-SUM(Q330:U330)</f>
        <v>0</v>
      </c>
      <c r="R331" s="190"/>
      <c r="S331" s="190"/>
      <c r="T331" s="190"/>
      <c r="U331" s="187"/>
      <c r="V331" s="90"/>
      <c r="W331" s="75"/>
      <c r="X331" s="75"/>
      <c r="Y331" s="75"/>
      <c r="Z331" s="96"/>
      <c r="AA331" s="96"/>
      <c r="AB331" s="75"/>
      <c r="AC331" s="75"/>
      <c r="AD331" s="75"/>
      <c r="AE331" s="75"/>
      <c r="AF331" s="75"/>
      <c r="AG331" s="75"/>
      <c r="AH331" s="75"/>
      <c r="AI331" s="75"/>
      <c r="AJ331" s="81"/>
      <c r="AK331" s="75"/>
      <c r="AL331" s="75"/>
    </row>
    <row r="332" spans="1:38" ht="30" x14ac:dyDescent="0.25">
      <c r="A332" s="75"/>
      <c r="B332" s="75"/>
      <c r="C332" s="27"/>
      <c r="D332" s="27"/>
      <c r="E332" s="143" t="s">
        <v>86</v>
      </c>
      <c r="F332" s="53"/>
      <c r="G332" s="87"/>
      <c r="H332" s="56" t="e">
        <f ca="1">H330/((H5/365)*Données!$B$3)</f>
        <v>#DIV/0!</v>
      </c>
      <c r="I332" s="188" t="e">
        <f ca="1">J330/((I5/365)*Données!$B$3)</f>
        <v>#DIV/0!</v>
      </c>
      <c r="J332" s="189"/>
      <c r="K332" s="188" t="e">
        <f ca="1">L330/((K5/365)*Données!$B$3)</f>
        <v>#DIV/0!</v>
      </c>
      <c r="L332" s="189"/>
      <c r="M332" s="56" t="e">
        <f ca="1">M330/((M5/365)*Données!$B$3)</f>
        <v>#DIV/0!</v>
      </c>
      <c r="N332" s="56" t="e">
        <f ca="1">N330/((N5/365)*Données!$B$3)</f>
        <v>#DIV/0!</v>
      </c>
      <c r="O332" s="188" t="e">
        <f ca="1">(O330+P330)/((O5/365)*Données!$B$3)</f>
        <v>#DIV/0!</v>
      </c>
      <c r="P332" s="189"/>
      <c r="Q332" s="188" t="e">
        <f ca="1">SUM(Q330:U330)/((Q5/365)*Données!$B$3)</f>
        <v>#DIV/0!</v>
      </c>
      <c r="R332" s="191"/>
      <c r="S332" s="191"/>
      <c r="T332" s="191"/>
      <c r="U332" s="189"/>
      <c r="V332" s="93"/>
      <c r="W332" s="75"/>
      <c r="X332" s="75"/>
      <c r="Y332" s="75"/>
      <c r="Z332" s="96"/>
      <c r="AA332" s="96"/>
      <c r="AB332" s="75"/>
      <c r="AC332" s="75"/>
      <c r="AD332" s="75"/>
      <c r="AE332" s="75"/>
      <c r="AF332" s="75"/>
      <c r="AG332" s="75"/>
      <c r="AH332" s="75"/>
      <c r="AI332" s="75"/>
      <c r="AJ332" s="81"/>
      <c r="AK332" s="75"/>
      <c r="AL332" s="75"/>
    </row>
    <row r="333" spans="1:38" ht="30" x14ac:dyDescent="0.25">
      <c r="A333" s="75"/>
      <c r="B333" s="75"/>
      <c r="C333" s="27"/>
      <c r="D333" s="27"/>
      <c r="E333" s="143" t="s">
        <v>87</v>
      </c>
      <c r="F333" s="53"/>
      <c r="G333" s="87"/>
      <c r="H333" s="56" t="e">
        <f>H330/H5</f>
        <v>#DIV/0!</v>
      </c>
      <c r="I333" s="188" t="e">
        <f>J330/I5</f>
        <v>#DIV/0!</v>
      </c>
      <c r="J333" s="189"/>
      <c r="K333" s="188" t="e">
        <f>L330/K5</f>
        <v>#DIV/0!</v>
      </c>
      <c r="L333" s="189"/>
      <c r="M333" s="56" t="e">
        <f>M330/M5</f>
        <v>#DIV/0!</v>
      </c>
      <c r="N333" s="56" t="e">
        <f>N330/M5</f>
        <v>#DIV/0!</v>
      </c>
      <c r="O333" s="188" t="e">
        <f>(O330+P330)/O5</f>
        <v>#DIV/0!</v>
      </c>
      <c r="P333" s="189"/>
      <c r="Q333" s="188" t="e">
        <f>SUM(Q330:U330)/Q5</f>
        <v>#DIV/0!</v>
      </c>
      <c r="R333" s="191"/>
      <c r="S333" s="191"/>
      <c r="T333" s="191"/>
      <c r="U333" s="189"/>
      <c r="V333" s="93"/>
      <c r="W333" s="75"/>
      <c r="X333" s="75"/>
      <c r="Y333" s="75"/>
      <c r="Z333" s="96"/>
      <c r="AA333" s="96"/>
      <c r="AB333" s="75"/>
      <c r="AC333" s="75"/>
      <c r="AD333" s="75"/>
      <c r="AE333" s="75"/>
      <c r="AF333" s="75"/>
      <c r="AG333" s="75"/>
      <c r="AH333" s="75"/>
      <c r="AI333" s="75"/>
      <c r="AJ333" s="81"/>
      <c r="AK333" s="75"/>
      <c r="AL333" s="75"/>
    </row>
    <row r="334" spans="1:38" s="49" customFormat="1" x14ac:dyDescent="0.25">
      <c r="A334" s="80"/>
      <c r="B334" s="82"/>
      <c r="C334" s="83"/>
      <c r="D334" s="83"/>
      <c r="E334" s="83"/>
      <c r="F334" s="80"/>
      <c r="G334" s="80"/>
      <c r="H334" s="80"/>
      <c r="I334" s="80"/>
      <c r="J334" s="80"/>
      <c r="K334" s="80"/>
      <c r="L334" s="80"/>
      <c r="M334" s="80"/>
      <c r="N334" s="80"/>
      <c r="O334" s="80"/>
      <c r="P334" s="80"/>
      <c r="Q334" s="80"/>
      <c r="R334" s="80"/>
      <c r="S334" s="80"/>
      <c r="T334" s="80"/>
      <c r="U334" s="80"/>
      <c r="V334" s="84"/>
      <c r="W334" s="80"/>
      <c r="X334" s="80"/>
      <c r="Y334" s="80"/>
      <c r="Z334" s="98"/>
      <c r="AA334" s="98"/>
      <c r="AB334" s="80"/>
      <c r="AC334" s="80"/>
      <c r="AD334" s="80"/>
      <c r="AE334" s="80"/>
      <c r="AF334" s="80"/>
      <c r="AG334" s="80"/>
      <c r="AH334" s="80"/>
      <c r="AI334" s="80"/>
      <c r="AJ334" s="95"/>
      <c r="AK334" s="80"/>
      <c r="AL334" s="80"/>
    </row>
    <row r="335" spans="1:38" s="48" customFormat="1" x14ac:dyDescent="0.25">
      <c r="A335" s="75"/>
      <c r="B335" s="82"/>
      <c r="C335" s="76"/>
      <c r="D335" s="76"/>
      <c r="E335" s="75"/>
      <c r="F335" s="75"/>
      <c r="G335" s="75"/>
      <c r="H335" s="75"/>
      <c r="I335" s="75"/>
      <c r="J335" s="75"/>
      <c r="K335" s="75"/>
      <c r="L335" s="75"/>
      <c r="M335" s="75"/>
      <c r="N335" s="75"/>
      <c r="O335" s="75"/>
      <c r="P335" s="75"/>
      <c r="Q335" s="75"/>
      <c r="R335" s="75"/>
      <c r="S335" s="75"/>
      <c r="T335" s="75"/>
      <c r="U335" s="75"/>
      <c r="V335" s="77"/>
      <c r="W335" s="75"/>
      <c r="X335" s="75"/>
      <c r="Y335" s="75"/>
      <c r="Z335" s="96"/>
      <c r="AA335" s="96"/>
      <c r="AB335" s="75"/>
      <c r="AC335" s="75"/>
      <c r="AD335" s="75"/>
      <c r="AE335" s="75"/>
      <c r="AF335" s="75"/>
      <c r="AG335" s="75"/>
      <c r="AH335" s="75"/>
      <c r="AI335" s="75"/>
      <c r="AJ335" s="81"/>
      <c r="AK335" s="75"/>
      <c r="AL335" s="75"/>
    </row>
    <row r="336" spans="1:38" s="48" customFormat="1" x14ac:dyDescent="0.25">
      <c r="A336" s="75"/>
      <c r="B336" s="82"/>
      <c r="C336" s="76"/>
      <c r="D336" s="76"/>
      <c r="E336" s="75"/>
      <c r="F336" s="75"/>
      <c r="G336" s="75"/>
      <c r="H336" s="75"/>
      <c r="I336" s="75"/>
      <c r="J336" s="75"/>
      <c r="K336" s="75"/>
      <c r="L336" s="75"/>
      <c r="M336" s="75"/>
      <c r="N336" s="75"/>
      <c r="O336" s="75"/>
      <c r="P336" s="75"/>
      <c r="Q336" s="75"/>
      <c r="R336" s="75"/>
      <c r="S336" s="75"/>
      <c r="T336" s="75"/>
      <c r="U336" s="75"/>
      <c r="V336" s="77"/>
      <c r="W336" s="75"/>
      <c r="X336" s="75"/>
      <c r="Y336" s="75"/>
      <c r="Z336" s="96"/>
      <c r="AA336" s="96"/>
      <c r="AB336" s="75"/>
      <c r="AC336" s="75"/>
      <c r="AD336" s="75"/>
      <c r="AE336" s="75"/>
      <c r="AF336" s="75"/>
      <c r="AG336" s="75"/>
      <c r="AH336" s="75"/>
      <c r="AI336" s="75"/>
      <c r="AJ336" s="81"/>
      <c r="AK336" s="75"/>
      <c r="AL336" s="75"/>
    </row>
    <row r="337" spans="1:38" s="48" customFormat="1" x14ac:dyDescent="0.25">
      <c r="A337" s="75"/>
      <c r="B337" s="82"/>
      <c r="C337" s="76"/>
      <c r="D337" s="76"/>
      <c r="E337" s="75"/>
      <c r="F337" s="75"/>
      <c r="G337" s="75"/>
      <c r="H337" s="75"/>
      <c r="I337" s="75"/>
      <c r="J337" s="75"/>
      <c r="K337" s="75"/>
      <c r="L337" s="75"/>
      <c r="M337" s="75"/>
      <c r="N337" s="75"/>
      <c r="O337" s="75"/>
      <c r="P337" s="75"/>
      <c r="Q337" s="75"/>
      <c r="R337" s="75"/>
      <c r="S337" s="75"/>
      <c r="T337" s="75"/>
      <c r="U337" s="75"/>
      <c r="V337" s="77"/>
      <c r="W337" s="75"/>
      <c r="X337" s="75"/>
      <c r="Y337" s="75"/>
      <c r="Z337" s="96"/>
      <c r="AA337" s="96"/>
      <c r="AB337" s="75"/>
      <c r="AC337" s="75"/>
      <c r="AD337" s="75"/>
      <c r="AE337" s="75"/>
      <c r="AF337" s="75"/>
      <c r="AG337" s="75"/>
      <c r="AH337" s="75"/>
      <c r="AI337" s="75"/>
      <c r="AJ337" s="81"/>
      <c r="AK337" s="75"/>
      <c r="AL337" s="75"/>
    </row>
    <row r="338" spans="1:38" s="48" customFormat="1" x14ac:dyDescent="0.25">
      <c r="A338" s="75"/>
      <c r="B338" s="82"/>
      <c r="C338" s="76"/>
      <c r="D338" s="76"/>
      <c r="E338" s="75"/>
      <c r="F338" s="75"/>
      <c r="G338" s="75"/>
      <c r="H338" s="75"/>
      <c r="I338" s="75"/>
      <c r="J338" s="75"/>
      <c r="K338" s="75"/>
      <c r="L338" s="75"/>
      <c r="M338" s="75"/>
      <c r="N338" s="75"/>
      <c r="O338" s="75"/>
      <c r="P338" s="75"/>
      <c r="Q338" s="75"/>
      <c r="R338" s="75"/>
      <c r="S338" s="75"/>
      <c r="T338" s="75"/>
      <c r="U338" s="75"/>
      <c r="V338" s="77"/>
      <c r="W338" s="75"/>
      <c r="X338" s="75"/>
      <c r="Y338" s="75"/>
      <c r="Z338" s="96"/>
      <c r="AA338" s="96"/>
      <c r="AB338" s="75"/>
      <c r="AC338" s="75"/>
      <c r="AD338" s="75"/>
      <c r="AE338" s="75"/>
      <c r="AF338" s="75"/>
      <c r="AG338" s="75"/>
      <c r="AH338" s="75"/>
      <c r="AI338" s="75"/>
      <c r="AJ338" s="81"/>
      <c r="AK338" s="75"/>
      <c r="AL338" s="75"/>
    </row>
    <row r="339" spans="1:38" s="48" customFormat="1" x14ac:dyDescent="0.25">
      <c r="A339" s="75"/>
      <c r="B339" s="82"/>
      <c r="C339" s="85"/>
      <c r="D339" s="85"/>
      <c r="E339" s="75"/>
      <c r="F339" s="75"/>
      <c r="G339" s="75"/>
      <c r="H339" s="75"/>
      <c r="I339" s="75"/>
      <c r="J339" s="75"/>
      <c r="K339" s="75"/>
      <c r="L339" s="75"/>
      <c r="M339" s="75"/>
      <c r="N339" s="75"/>
      <c r="O339" s="75"/>
      <c r="P339" s="75"/>
      <c r="Q339" s="75"/>
      <c r="R339" s="75"/>
      <c r="S339" s="75"/>
      <c r="T339" s="75"/>
      <c r="U339" s="75"/>
      <c r="V339" s="77"/>
      <c r="W339" s="75"/>
      <c r="X339" s="75"/>
      <c r="Y339" s="75"/>
      <c r="Z339" s="78"/>
      <c r="AA339" s="78"/>
      <c r="AB339" s="75"/>
      <c r="AC339" s="75"/>
      <c r="AD339" s="75"/>
      <c r="AE339" s="75"/>
      <c r="AF339" s="75"/>
      <c r="AG339" s="75"/>
      <c r="AH339" s="75"/>
      <c r="AI339" s="75"/>
      <c r="AJ339" s="81"/>
      <c r="AK339" s="75"/>
      <c r="AL339" s="75"/>
    </row>
    <row r="340" spans="1:38" s="48" customFormat="1" x14ac:dyDescent="0.25">
      <c r="A340" s="75"/>
      <c r="B340" s="82"/>
      <c r="C340" s="76"/>
      <c r="D340" s="76"/>
      <c r="E340" s="75"/>
      <c r="F340" s="75"/>
      <c r="G340" s="75"/>
      <c r="H340" s="75"/>
      <c r="I340" s="75"/>
      <c r="J340" s="75"/>
      <c r="K340" s="75"/>
      <c r="L340" s="75"/>
      <c r="M340" s="75"/>
      <c r="N340" s="75"/>
      <c r="O340" s="75"/>
      <c r="P340" s="75"/>
      <c r="Q340" s="75"/>
      <c r="R340" s="75"/>
      <c r="S340" s="75"/>
      <c r="T340" s="75"/>
      <c r="U340" s="75"/>
      <c r="V340" s="77"/>
      <c r="W340" s="75"/>
      <c r="X340" s="75"/>
      <c r="Y340" s="75"/>
      <c r="Z340" s="78"/>
      <c r="AA340" s="78"/>
      <c r="AB340" s="75"/>
      <c r="AC340" s="75"/>
      <c r="AD340" s="75"/>
      <c r="AE340" s="75"/>
      <c r="AF340" s="75"/>
      <c r="AG340" s="75"/>
      <c r="AH340" s="75"/>
      <c r="AI340" s="75"/>
      <c r="AJ340" s="81"/>
      <c r="AK340" s="75"/>
      <c r="AL340" s="75"/>
    </row>
    <row r="341" spans="1:38" s="69" customFormat="1" x14ac:dyDescent="0.25">
      <c r="A341" s="75"/>
      <c r="B341" s="75"/>
      <c r="C341" s="76"/>
      <c r="D341" s="76"/>
      <c r="E341" s="75"/>
      <c r="F341" s="75"/>
      <c r="G341" s="75"/>
      <c r="H341" s="75"/>
      <c r="I341" s="75"/>
      <c r="J341" s="75"/>
      <c r="K341" s="75"/>
      <c r="L341" s="75"/>
      <c r="M341" s="75"/>
      <c r="N341" s="75"/>
      <c r="O341" s="75"/>
      <c r="P341" s="75"/>
      <c r="Q341" s="75"/>
      <c r="R341" s="75"/>
      <c r="S341" s="75"/>
      <c r="T341" s="75"/>
      <c r="U341" s="75"/>
      <c r="V341" s="77"/>
      <c r="W341" s="75"/>
      <c r="X341" s="75"/>
      <c r="Y341" s="75"/>
      <c r="Z341" s="78"/>
      <c r="AA341" s="78"/>
      <c r="AB341" s="75"/>
      <c r="AC341" s="75"/>
      <c r="AD341" s="75"/>
      <c r="AE341" s="75"/>
      <c r="AF341" s="75"/>
      <c r="AG341" s="75"/>
      <c r="AH341" s="75"/>
      <c r="AI341" s="75"/>
      <c r="AJ341" s="81"/>
      <c r="AK341" s="75"/>
      <c r="AL341" s="75"/>
    </row>
    <row r="342" spans="1:38" s="69" customFormat="1" x14ac:dyDescent="0.25">
      <c r="A342" s="75"/>
      <c r="B342" s="75"/>
      <c r="C342" s="76"/>
      <c r="D342" s="76"/>
      <c r="E342" s="75"/>
      <c r="F342" s="75"/>
      <c r="G342" s="75"/>
      <c r="H342" s="75"/>
      <c r="I342" s="75"/>
      <c r="J342" s="75"/>
      <c r="K342" s="75"/>
      <c r="L342" s="75"/>
      <c r="M342" s="75"/>
      <c r="N342" s="75"/>
      <c r="O342" s="75"/>
      <c r="P342" s="75"/>
      <c r="Q342" s="75"/>
      <c r="R342" s="75"/>
      <c r="S342" s="75"/>
      <c r="T342" s="75"/>
      <c r="U342" s="75"/>
      <c r="V342" s="77"/>
      <c r="W342" s="75"/>
      <c r="X342" s="75"/>
      <c r="Y342" s="75"/>
      <c r="Z342" s="78"/>
      <c r="AA342" s="78"/>
      <c r="AB342" s="75"/>
      <c r="AC342" s="75"/>
      <c r="AD342" s="75"/>
      <c r="AE342" s="75"/>
      <c r="AF342" s="75"/>
      <c r="AG342" s="75"/>
      <c r="AH342" s="75"/>
      <c r="AI342" s="75"/>
      <c r="AJ342" s="81"/>
      <c r="AK342" s="75"/>
      <c r="AL342" s="75"/>
    </row>
    <row r="343" spans="1:38" s="69" customFormat="1" x14ac:dyDescent="0.25">
      <c r="A343" s="75"/>
      <c r="B343" s="75"/>
      <c r="C343" s="76"/>
      <c r="D343" s="76"/>
      <c r="E343" s="75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7"/>
      <c r="W343" s="75"/>
      <c r="X343" s="75"/>
      <c r="Y343" s="75"/>
      <c r="Z343" s="78"/>
      <c r="AA343" s="78"/>
      <c r="AB343" s="75"/>
      <c r="AC343" s="75"/>
      <c r="AD343" s="75"/>
      <c r="AE343" s="75"/>
      <c r="AF343" s="75"/>
      <c r="AG343" s="75"/>
      <c r="AH343" s="75"/>
      <c r="AI343" s="75"/>
      <c r="AJ343" s="81"/>
      <c r="AK343" s="75"/>
      <c r="AL343" s="75"/>
    </row>
    <row r="344" spans="1:38" s="69" customFormat="1" x14ac:dyDescent="0.25">
      <c r="A344" s="75"/>
      <c r="B344" s="75"/>
      <c r="C344" s="76"/>
      <c r="D344" s="76"/>
      <c r="E344" s="75"/>
      <c r="F344" s="75"/>
      <c r="G344" s="75"/>
      <c r="H344" s="75"/>
      <c r="I344" s="75"/>
      <c r="J344" s="75"/>
      <c r="K344" s="75"/>
      <c r="L344" s="75"/>
      <c r="M344" s="75"/>
      <c r="N344" s="75"/>
      <c r="O344" s="75"/>
      <c r="P344" s="75"/>
      <c r="Q344" s="75"/>
      <c r="R344" s="75"/>
      <c r="S344" s="75"/>
      <c r="T344" s="75"/>
      <c r="U344" s="75"/>
      <c r="V344" s="77"/>
      <c r="W344" s="75"/>
      <c r="X344" s="75"/>
      <c r="Y344" s="75"/>
      <c r="Z344" s="78"/>
      <c r="AA344" s="78"/>
      <c r="AB344" s="75"/>
      <c r="AC344" s="75"/>
      <c r="AD344" s="75"/>
      <c r="AE344" s="75"/>
      <c r="AF344" s="75"/>
      <c r="AG344" s="75"/>
      <c r="AH344" s="75"/>
      <c r="AI344" s="75"/>
      <c r="AJ344" s="81"/>
      <c r="AK344" s="75"/>
      <c r="AL344" s="75"/>
    </row>
    <row r="345" spans="1:38" s="69" customFormat="1" x14ac:dyDescent="0.25">
      <c r="A345" s="75"/>
      <c r="B345" s="75"/>
      <c r="C345" s="76"/>
      <c r="D345" s="76"/>
      <c r="E345" s="75"/>
      <c r="F345" s="75"/>
      <c r="G345" s="75"/>
      <c r="H345" s="75"/>
      <c r="I345" s="75"/>
      <c r="J345" s="75"/>
      <c r="K345" s="75"/>
      <c r="L345" s="75"/>
      <c r="M345" s="75"/>
      <c r="N345" s="75"/>
      <c r="O345" s="75"/>
      <c r="P345" s="75"/>
      <c r="Q345" s="75"/>
      <c r="R345" s="75"/>
      <c r="S345" s="75"/>
      <c r="T345" s="75"/>
      <c r="U345" s="75"/>
      <c r="V345" s="77"/>
      <c r="W345" s="75"/>
      <c r="X345" s="75"/>
      <c r="Y345" s="75"/>
      <c r="Z345" s="78"/>
      <c r="AA345" s="78"/>
      <c r="AB345" s="75"/>
      <c r="AC345" s="75"/>
      <c r="AD345" s="75"/>
      <c r="AE345" s="75"/>
      <c r="AF345" s="75"/>
      <c r="AG345" s="75"/>
      <c r="AH345" s="75"/>
      <c r="AI345" s="75"/>
      <c r="AJ345" s="81"/>
      <c r="AK345" s="75"/>
      <c r="AL345" s="75"/>
    </row>
    <row r="346" spans="1:38" s="69" customFormat="1" x14ac:dyDescent="0.25">
      <c r="A346" s="75"/>
      <c r="B346" s="75"/>
      <c r="C346" s="76"/>
      <c r="D346" s="76"/>
      <c r="E346" s="75"/>
      <c r="F346" s="75"/>
      <c r="G346" s="75"/>
      <c r="H346" s="75"/>
      <c r="I346" s="75"/>
      <c r="J346" s="75"/>
      <c r="K346" s="75"/>
      <c r="L346" s="75"/>
      <c r="M346" s="75"/>
      <c r="N346" s="75"/>
      <c r="O346" s="75"/>
      <c r="P346" s="75"/>
      <c r="Q346" s="75"/>
      <c r="R346" s="75"/>
      <c r="S346" s="75"/>
      <c r="T346" s="75"/>
      <c r="U346" s="75"/>
      <c r="V346" s="77"/>
      <c r="W346" s="75"/>
      <c r="X346" s="75"/>
      <c r="Y346" s="75"/>
      <c r="Z346" s="78"/>
      <c r="AA346" s="78"/>
      <c r="AB346" s="75"/>
      <c r="AC346" s="75"/>
      <c r="AD346" s="75"/>
      <c r="AE346" s="75"/>
      <c r="AF346" s="75"/>
      <c r="AG346" s="75"/>
      <c r="AH346" s="75"/>
      <c r="AI346" s="75"/>
      <c r="AJ346" s="81"/>
      <c r="AK346" s="75"/>
      <c r="AL346" s="75"/>
    </row>
    <row r="347" spans="1:38" s="69" customFormat="1" x14ac:dyDescent="0.25">
      <c r="A347" s="75"/>
      <c r="B347" s="75"/>
      <c r="C347" s="76"/>
      <c r="D347" s="76"/>
      <c r="E347" s="75"/>
      <c r="F347" s="75"/>
      <c r="G347" s="75"/>
      <c r="H347" s="75"/>
      <c r="I347" s="75"/>
      <c r="J347" s="75"/>
      <c r="K347" s="75"/>
      <c r="L347" s="75"/>
      <c r="M347" s="75"/>
      <c r="N347" s="75"/>
      <c r="O347" s="75"/>
      <c r="P347" s="75"/>
      <c r="Q347" s="75"/>
      <c r="R347" s="75"/>
      <c r="S347" s="75"/>
      <c r="T347" s="75"/>
      <c r="U347" s="75"/>
      <c r="V347" s="77"/>
      <c r="W347" s="75"/>
      <c r="X347" s="75"/>
      <c r="Y347" s="75"/>
      <c r="Z347" s="78"/>
      <c r="AA347" s="78"/>
      <c r="AB347" s="75"/>
      <c r="AC347" s="75"/>
      <c r="AD347" s="75"/>
      <c r="AE347" s="75"/>
      <c r="AF347" s="75"/>
      <c r="AG347" s="75"/>
      <c r="AH347" s="75"/>
      <c r="AI347" s="75"/>
      <c r="AJ347" s="81"/>
      <c r="AK347" s="75"/>
      <c r="AL347" s="75"/>
    </row>
    <row r="348" spans="1:38" s="69" customFormat="1" x14ac:dyDescent="0.25">
      <c r="A348" s="75"/>
      <c r="B348" s="75"/>
      <c r="C348" s="76"/>
      <c r="D348" s="76"/>
      <c r="E348" s="75"/>
      <c r="F348" s="75"/>
      <c r="G348" s="75"/>
      <c r="H348" s="75"/>
      <c r="I348" s="75"/>
      <c r="J348" s="75"/>
      <c r="K348" s="75"/>
      <c r="L348" s="75"/>
      <c r="M348" s="75"/>
      <c r="N348" s="75"/>
      <c r="O348" s="75"/>
      <c r="P348" s="75"/>
      <c r="Q348" s="75"/>
      <c r="R348" s="75"/>
      <c r="S348" s="75"/>
      <c r="T348" s="75"/>
      <c r="U348" s="75"/>
      <c r="V348" s="77"/>
      <c r="W348" s="75"/>
      <c r="X348" s="75"/>
      <c r="Y348" s="75"/>
      <c r="Z348" s="78"/>
      <c r="AA348" s="78"/>
      <c r="AB348" s="75"/>
      <c r="AC348" s="75"/>
      <c r="AD348" s="75"/>
      <c r="AE348" s="75"/>
      <c r="AF348" s="75"/>
      <c r="AG348" s="75"/>
      <c r="AH348" s="75"/>
      <c r="AI348" s="75"/>
      <c r="AJ348" s="81"/>
      <c r="AK348" s="75"/>
      <c r="AL348" s="75"/>
    </row>
    <row r="349" spans="1:38" s="69" customFormat="1" x14ac:dyDescent="0.25">
      <c r="A349" s="75"/>
      <c r="B349" s="75"/>
      <c r="C349" s="76"/>
      <c r="D349" s="76"/>
      <c r="E349" s="75"/>
      <c r="F349" s="75"/>
      <c r="G349" s="75"/>
      <c r="H349" s="75"/>
      <c r="I349" s="75"/>
      <c r="J349" s="75"/>
      <c r="K349" s="75"/>
      <c r="L349" s="75"/>
      <c r="M349" s="75"/>
      <c r="N349" s="75"/>
      <c r="O349" s="75"/>
      <c r="P349" s="75"/>
      <c r="Q349" s="75"/>
      <c r="R349" s="75"/>
      <c r="S349" s="75"/>
      <c r="T349" s="75"/>
      <c r="U349" s="75"/>
      <c r="V349" s="77"/>
      <c r="W349" s="75"/>
      <c r="X349" s="75"/>
      <c r="Y349" s="75"/>
      <c r="Z349" s="78"/>
      <c r="AA349" s="78"/>
      <c r="AB349" s="75"/>
      <c r="AC349" s="75"/>
      <c r="AD349" s="75"/>
      <c r="AE349" s="75"/>
      <c r="AF349" s="75"/>
      <c r="AG349" s="75"/>
      <c r="AH349" s="75"/>
      <c r="AI349" s="75"/>
      <c r="AJ349" s="81"/>
      <c r="AK349" s="75"/>
      <c r="AL349" s="75"/>
    </row>
    <row r="350" spans="1:38" s="69" customFormat="1" x14ac:dyDescent="0.25">
      <c r="A350" s="75"/>
      <c r="B350" s="75"/>
      <c r="C350" s="76"/>
      <c r="D350" s="76"/>
      <c r="E350" s="75"/>
      <c r="F350" s="75"/>
      <c r="G350" s="75"/>
      <c r="H350" s="75"/>
      <c r="I350" s="75"/>
      <c r="J350" s="75"/>
      <c r="K350" s="75"/>
      <c r="L350" s="75"/>
      <c r="M350" s="75"/>
      <c r="N350" s="75"/>
      <c r="O350" s="75"/>
      <c r="P350" s="75"/>
      <c r="Q350" s="75"/>
      <c r="R350" s="75"/>
      <c r="S350" s="75"/>
      <c r="T350" s="75"/>
      <c r="U350" s="75"/>
      <c r="V350" s="77"/>
      <c r="W350" s="75"/>
      <c r="X350" s="75"/>
      <c r="Y350" s="75"/>
      <c r="Z350" s="78"/>
      <c r="AA350" s="78"/>
      <c r="AB350" s="75"/>
      <c r="AC350" s="75"/>
      <c r="AD350" s="75"/>
      <c r="AE350" s="75"/>
      <c r="AF350" s="75"/>
      <c r="AG350" s="75"/>
      <c r="AH350" s="75"/>
      <c r="AI350" s="75"/>
      <c r="AJ350" s="81"/>
      <c r="AK350" s="75"/>
      <c r="AL350" s="75"/>
    </row>
    <row r="351" spans="1:38" s="69" customFormat="1" x14ac:dyDescent="0.25">
      <c r="A351" s="75"/>
      <c r="B351" s="75"/>
      <c r="C351" s="76"/>
      <c r="D351" s="76"/>
      <c r="E351" s="75"/>
      <c r="F351" s="75"/>
      <c r="G351" s="75"/>
      <c r="H351" s="75"/>
      <c r="I351" s="75"/>
      <c r="J351" s="75"/>
      <c r="K351" s="75"/>
      <c r="L351" s="75"/>
      <c r="M351" s="75"/>
      <c r="N351" s="75"/>
      <c r="O351" s="75"/>
      <c r="P351" s="75"/>
      <c r="Q351" s="75"/>
      <c r="R351" s="75"/>
      <c r="S351" s="75"/>
      <c r="T351" s="75"/>
      <c r="U351" s="75"/>
      <c r="V351" s="77"/>
      <c r="W351" s="75"/>
      <c r="X351" s="75"/>
      <c r="Y351" s="75"/>
      <c r="Z351" s="78"/>
      <c r="AA351" s="78"/>
      <c r="AB351" s="75"/>
      <c r="AC351" s="75"/>
      <c r="AD351" s="75"/>
      <c r="AE351" s="75"/>
      <c r="AF351" s="75"/>
      <c r="AG351" s="75"/>
      <c r="AH351" s="75"/>
      <c r="AI351" s="75"/>
      <c r="AJ351" s="81"/>
      <c r="AK351" s="75"/>
      <c r="AL351" s="75"/>
    </row>
    <row r="352" spans="1:38" s="69" customFormat="1" x14ac:dyDescent="0.25">
      <c r="A352" s="75"/>
      <c r="B352" s="75"/>
      <c r="C352" s="76"/>
      <c r="D352" s="76"/>
      <c r="E352" s="75"/>
      <c r="F352" s="75"/>
      <c r="G352" s="75"/>
      <c r="H352" s="75"/>
      <c r="I352" s="75"/>
      <c r="J352" s="75"/>
      <c r="K352" s="75"/>
      <c r="L352" s="75"/>
      <c r="M352" s="75"/>
      <c r="N352" s="75"/>
      <c r="O352" s="75"/>
      <c r="P352" s="75"/>
      <c r="Q352" s="75"/>
      <c r="R352" s="75"/>
      <c r="S352" s="75"/>
      <c r="T352" s="75"/>
      <c r="U352" s="75"/>
      <c r="V352" s="77"/>
      <c r="W352" s="75"/>
      <c r="X352" s="75"/>
      <c r="Y352" s="75"/>
      <c r="Z352" s="78"/>
      <c r="AA352" s="78"/>
      <c r="AB352" s="75"/>
      <c r="AC352" s="75"/>
      <c r="AD352" s="75"/>
      <c r="AE352" s="75"/>
      <c r="AF352" s="75"/>
      <c r="AG352" s="75"/>
      <c r="AH352" s="75"/>
      <c r="AI352" s="75"/>
      <c r="AJ352" s="81"/>
      <c r="AK352" s="75"/>
      <c r="AL352" s="75"/>
    </row>
    <row r="353" spans="1:38" s="69" customFormat="1" x14ac:dyDescent="0.25">
      <c r="A353" s="75"/>
      <c r="B353" s="75"/>
      <c r="C353" s="76"/>
      <c r="D353" s="76"/>
      <c r="E353" s="75"/>
      <c r="F353" s="75"/>
      <c r="G353" s="75"/>
      <c r="H353" s="75"/>
      <c r="I353" s="75"/>
      <c r="J353" s="75"/>
      <c r="K353" s="75"/>
      <c r="L353" s="75"/>
      <c r="M353" s="75"/>
      <c r="N353" s="75"/>
      <c r="O353" s="75"/>
      <c r="P353" s="75"/>
      <c r="Q353" s="75"/>
      <c r="R353" s="75"/>
      <c r="S353" s="75"/>
      <c r="T353" s="75"/>
      <c r="U353" s="75"/>
      <c r="V353" s="77"/>
      <c r="W353" s="75"/>
      <c r="X353" s="75"/>
      <c r="Y353" s="75"/>
      <c r="Z353" s="78"/>
      <c r="AA353" s="78"/>
      <c r="AB353" s="75"/>
      <c r="AC353" s="75"/>
      <c r="AD353" s="75"/>
      <c r="AE353" s="75"/>
      <c r="AF353" s="75"/>
      <c r="AG353" s="75"/>
      <c r="AH353" s="75"/>
      <c r="AI353" s="75"/>
      <c r="AJ353" s="81"/>
      <c r="AK353" s="75"/>
      <c r="AL353" s="75"/>
    </row>
    <row r="354" spans="1:38" s="69" customFormat="1" x14ac:dyDescent="0.25">
      <c r="A354" s="75"/>
      <c r="B354" s="75"/>
      <c r="C354" s="76"/>
      <c r="D354" s="76"/>
      <c r="E354" s="75"/>
      <c r="F354" s="75"/>
      <c r="G354" s="75"/>
      <c r="H354" s="75"/>
      <c r="I354" s="75"/>
      <c r="J354" s="75"/>
      <c r="K354" s="75"/>
      <c r="L354" s="75"/>
      <c r="M354" s="75"/>
      <c r="N354" s="75"/>
      <c r="O354" s="75"/>
      <c r="P354" s="75"/>
      <c r="Q354" s="75"/>
      <c r="R354" s="75"/>
      <c r="S354" s="75"/>
      <c r="T354" s="75"/>
      <c r="U354" s="75"/>
      <c r="V354" s="77"/>
      <c r="W354" s="75"/>
      <c r="X354" s="75"/>
      <c r="Y354" s="75"/>
      <c r="Z354" s="78"/>
      <c r="AA354" s="78"/>
      <c r="AB354" s="75"/>
      <c r="AC354" s="75"/>
      <c r="AD354" s="75"/>
      <c r="AE354" s="75"/>
      <c r="AF354" s="75"/>
      <c r="AG354" s="75"/>
      <c r="AH354" s="75"/>
      <c r="AI354" s="75"/>
      <c r="AJ354" s="81"/>
      <c r="AK354" s="75"/>
      <c r="AL354" s="75"/>
    </row>
    <row r="355" spans="1:38" s="69" customFormat="1" x14ac:dyDescent="0.25">
      <c r="A355" s="75"/>
      <c r="B355" s="75"/>
      <c r="C355" s="76"/>
      <c r="D355" s="76"/>
      <c r="E355" s="75"/>
      <c r="F355" s="75"/>
      <c r="G355" s="75"/>
      <c r="H355" s="75"/>
      <c r="I355" s="75"/>
      <c r="J355" s="75"/>
      <c r="K355" s="75"/>
      <c r="L355" s="75"/>
      <c r="M355" s="75"/>
      <c r="N355" s="75"/>
      <c r="O355" s="75"/>
      <c r="P355" s="75"/>
      <c r="Q355" s="75"/>
      <c r="R355" s="75"/>
      <c r="S355" s="75"/>
      <c r="T355" s="75"/>
      <c r="U355" s="75"/>
      <c r="V355" s="77"/>
      <c r="W355" s="75"/>
      <c r="X355" s="75"/>
      <c r="Y355" s="75"/>
      <c r="Z355" s="78"/>
      <c r="AA355" s="78"/>
      <c r="AB355" s="75"/>
      <c r="AC355" s="75"/>
      <c r="AD355" s="75"/>
      <c r="AE355" s="75"/>
      <c r="AF355" s="75"/>
      <c r="AG355" s="75"/>
      <c r="AH355" s="75"/>
      <c r="AI355" s="75"/>
      <c r="AJ355" s="81"/>
      <c r="AK355" s="75"/>
      <c r="AL355" s="75"/>
    </row>
    <row r="356" spans="1:38" s="69" customFormat="1" x14ac:dyDescent="0.25">
      <c r="A356" s="75"/>
      <c r="B356" s="75"/>
      <c r="C356" s="76"/>
      <c r="D356" s="76"/>
      <c r="E356" s="75"/>
      <c r="F356" s="75"/>
      <c r="G356" s="75"/>
      <c r="H356" s="75"/>
      <c r="I356" s="75"/>
      <c r="J356" s="75"/>
      <c r="K356" s="75"/>
      <c r="L356" s="75"/>
      <c r="M356" s="75"/>
      <c r="N356" s="75"/>
      <c r="O356" s="75"/>
      <c r="P356" s="75"/>
      <c r="Q356" s="75"/>
      <c r="R356" s="75"/>
      <c r="S356" s="75"/>
      <c r="T356" s="75"/>
      <c r="U356" s="75"/>
      <c r="V356" s="77"/>
      <c r="W356" s="75"/>
      <c r="X356" s="75"/>
      <c r="Y356" s="75"/>
      <c r="Z356" s="78"/>
      <c r="AA356" s="78"/>
      <c r="AB356" s="75"/>
      <c r="AC356" s="75"/>
      <c r="AD356" s="75"/>
      <c r="AE356" s="75"/>
      <c r="AF356" s="75"/>
      <c r="AG356" s="75"/>
      <c r="AH356" s="75"/>
      <c r="AI356" s="75"/>
      <c r="AJ356" s="81"/>
      <c r="AK356" s="75"/>
      <c r="AL356" s="75"/>
    </row>
    <row r="357" spans="1:38" s="69" customFormat="1" x14ac:dyDescent="0.25">
      <c r="A357" s="75"/>
      <c r="B357" s="75"/>
      <c r="C357" s="76"/>
      <c r="D357" s="76"/>
      <c r="E357" s="75"/>
      <c r="F357" s="75"/>
      <c r="G357" s="75"/>
      <c r="H357" s="75"/>
      <c r="I357" s="75"/>
      <c r="J357" s="75"/>
      <c r="K357" s="75"/>
      <c r="L357" s="75"/>
      <c r="M357" s="75"/>
      <c r="N357" s="75"/>
      <c r="O357" s="75"/>
      <c r="P357" s="75"/>
      <c r="Q357" s="75"/>
      <c r="R357" s="75"/>
      <c r="S357" s="75"/>
      <c r="T357" s="75"/>
      <c r="U357" s="75"/>
      <c r="V357" s="77"/>
      <c r="W357" s="75"/>
      <c r="X357" s="75"/>
      <c r="Y357" s="75"/>
      <c r="Z357" s="78"/>
      <c r="AA357" s="78"/>
      <c r="AB357" s="75"/>
      <c r="AC357" s="75"/>
      <c r="AD357" s="75"/>
      <c r="AE357" s="75"/>
      <c r="AF357" s="75"/>
      <c r="AG357" s="75"/>
      <c r="AH357" s="75"/>
      <c r="AI357" s="75"/>
      <c r="AJ357" s="81"/>
      <c r="AK357" s="75"/>
      <c r="AL357" s="75"/>
    </row>
    <row r="358" spans="1:38" s="69" customFormat="1" x14ac:dyDescent="0.25">
      <c r="A358" s="75"/>
      <c r="B358" s="75"/>
      <c r="C358" s="76"/>
      <c r="D358" s="76"/>
      <c r="E358" s="75"/>
      <c r="F358" s="75"/>
      <c r="G358" s="75"/>
      <c r="H358" s="75"/>
      <c r="I358" s="75"/>
      <c r="J358" s="75"/>
      <c r="K358" s="75"/>
      <c r="L358" s="75"/>
      <c r="M358" s="75"/>
      <c r="N358" s="75"/>
      <c r="O358" s="75"/>
      <c r="P358" s="75"/>
      <c r="Q358" s="75"/>
      <c r="R358" s="75"/>
      <c r="S358" s="75"/>
      <c r="T358" s="75"/>
      <c r="U358" s="75"/>
      <c r="V358" s="77"/>
      <c r="W358" s="75"/>
      <c r="X358" s="75"/>
      <c r="Y358" s="75"/>
      <c r="Z358" s="78"/>
      <c r="AA358" s="78"/>
      <c r="AB358" s="75"/>
      <c r="AC358" s="75"/>
      <c r="AD358" s="75"/>
      <c r="AE358" s="75"/>
      <c r="AF358" s="75"/>
      <c r="AG358" s="75"/>
      <c r="AH358" s="75"/>
      <c r="AI358" s="75"/>
      <c r="AJ358" s="81"/>
      <c r="AK358" s="75"/>
      <c r="AL358" s="75"/>
    </row>
    <row r="359" spans="1:38" s="69" customFormat="1" x14ac:dyDescent="0.25">
      <c r="A359" s="75"/>
      <c r="B359" s="75"/>
      <c r="C359" s="76"/>
      <c r="D359" s="76"/>
      <c r="E359" s="75"/>
      <c r="F359" s="75"/>
      <c r="G359" s="75"/>
      <c r="H359" s="75"/>
      <c r="I359" s="75"/>
      <c r="J359" s="75"/>
      <c r="K359" s="75"/>
      <c r="L359" s="75"/>
      <c r="M359" s="75"/>
      <c r="N359" s="75"/>
      <c r="O359" s="75"/>
      <c r="P359" s="75"/>
      <c r="Q359" s="75"/>
      <c r="R359" s="75"/>
      <c r="S359" s="75"/>
      <c r="T359" s="75"/>
      <c r="U359" s="75"/>
      <c r="V359" s="77"/>
      <c r="W359" s="75"/>
      <c r="X359" s="75"/>
      <c r="Y359" s="75"/>
      <c r="Z359" s="78"/>
      <c r="AA359" s="78"/>
      <c r="AB359" s="75"/>
      <c r="AC359" s="75"/>
      <c r="AD359" s="75"/>
      <c r="AE359" s="75"/>
      <c r="AF359" s="75"/>
      <c r="AG359" s="75"/>
      <c r="AH359" s="75"/>
      <c r="AI359" s="75"/>
      <c r="AJ359" s="81"/>
      <c r="AK359" s="75"/>
      <c r="AL359" s="75"/>
    </row>
    <row r="360" spans="1:38" s="69" customFormat="1" x14ac:dyDescent="0.25">
      <c r="A360" s="75"/>
      <c r="B360" s="75"/>
      <c r="C360" s="76"/>
      <c r="D360" s="76"/>
      <c r="E360" s="75"/>
      <c r="F360" s="75"/>
      <c r="G360" s="75"/>
      <c r="H360" s="75"/>
      <c r="I360" s="75"/>
      <c r="J360" s="75"/>
      <c r="K360" s="75"/>
      <c r="L360" s="75"/>
      <c r="M360" s="75"/>
      <c r="N360" s="75"/>
      <c r="O360" s="75"/>
      <c r="P360" s="75"/>
      <c r="Q360" s="75"/>
      <c r="R360" s="75"/>
      <c r="S360" s="75"/>
      <c r="T360" s="75"/>
      <c r="U360" s="75"/>
      <c r="V360" s="77"/>
      <c r="W360" s="75"/>
      <c r="X360" s="75"/>
      <c r="Y360" s="75"/>
      <c r="Z360" s="78"/>
      <c r="AA360" s="78"/>
      <c r="AB360" s="75"/>
      <c r="AC360" s="75"/>
      <c r="AD360" s="75"/>
      <c r="AE360" s="75"/>
      <c r="AF360" s="75"/>
      <c r="AG360" s="75"/>
      <c r="AH360" s="75"/>
      <c r="AI360" s="75"/>
      <c r="AJ360" s="81"/>
      <c r="AK360" s="75"/>
      <c r="AL360" s="75"/>
    </row>
    <row r="361" spans="1:38" s="69" customFormat="1" x14ac:dyDescent="0.25">
      <c r="A361" s="75"/>
      <c r="B361" s="75"/>
      <c r="C361" s="76"/>
      <c r="D361" s="76"/>
      <c r="E361" s="75"/>
      <c r="F361" s="75"/>
      <c r="G361" s="75"/>
      <c r="H361" s="75"/>
      <c r="I361" s="75"/>
      <c r="J361" s="75"/>
      <c r="K361" s="75"/>
      <c r="L361" s="75"/>
      <c r="M361" s="75"/>
      <c r="N361" s="75"/>
      <c r="O361" s="75"/>
      <c r="P361" s="75"/>
      <c r="Q361" s="75"/>
      <c r="R361" s="75"/>
      <c r="S361" s="75"/>
      <c r="T361" s="75"/>
      <c r="U361" s="75"/>
      <c r="V361" s="77"/>
      <c r="W361" s="75"/>
      <c r="X361" s="75"/>
      <c r="Y361" s="75"/>
      <c r="Z361" s="78"/>
      <c r="AA361" s="78"/>
      <c r="AB361" s="75"/>
      <c r="AC361" s="75"/>
      <c r="AD361" s="75"/>
      <c r="AE361" s="75"/>
      <c r="AF361" s="75"/>
      <c r="AG361" s="75"/>
      <c r="AH361" s="75"/>
      <c r="AI361" s="75"/>
      <c r="AJ361" s="81"/>
      <c r="AK361" s="75"/>
      <c r="AL361" s="75"/>
    </row>
    <row r="362" spans="1:38" s="69" customFormat="1" x14ac:dyDescent="0.25">
      <c r="A362" s="75"/>
      <c r="B362" s="75"/>
      <c r="C362" s="76"/>
      <c r="D362" s="76"/>
      <c r="E362" s="75"/>
      <c r="F362" s="75"/>
      <c r="G362" s="75"/>
      <c r="H362" s="75"/>
      <c r="I362" s="75"/>
      <c r="J362" s="75"/>
      <c r="K362" s="75"/>
      <c r="L362" s="75"/>
      <c r="M362" s="75"/>
      <c r="N362" s="75"/>
      <c r="O362" s="75"/>
      <c r="P362" s="75"/>
      <c r="Q362" s="75"/>
      <c r="R362" s="75"/>
      <c r="S362" s="75"/>
      <c r="T362" s="75"/>
      <c r="U362" s="75"/>
      <c r="V362" s="77"/>
      <c r="W362" s="75"/>
      <c r="X362" s="75"/>
      <c r="Y362" s="75"/>
      <c r="Z362" s="78"/>
      <c r="AA362" s="78"/>
      <c r="AB362" s="75"/>
      <c r="AC362" s="75"/>
      <c r="AD362" s="75"/>
      <c r="AE362" s="75"/>
      <c r="AF362" s="75"/>
      <c r="AG362" s="75"/>
      <c r="AH362" s="75"/>
      <c r="AI362" s="75"/>
      <c r="AJ362" s="81"/>
      <c r="AK362" s="75"/>
      <c r="AL362" s="75"/>
    </row>
    <row r="363" spans="1:38" s="69" customFormat="1" x14ac:dyDescent="0.25">
      <c r="A363" s="75"/>
      <c r="B363" s="75"/>
      <c r="C363" s="76"/>
      <c r="D363" s="76"/>
      <c r="E363" s="75"/>
      <c r="F363" s="75"/>
      <c r="G363" s="75"/>
      <c r="H363" s="75"/>
      <c r="I363" s="75"/>
      <c r="J363" s="75"/>
      <c r="K363" s="75"/>
      <c r="L363" s="75"/>
      <c r="M363" s="75"/>
      <c r="N363" s="75"/>
      <c r="O363" s="75"/>
      <c r="P363" s="75"/>
      <c r="Q363" s="75"/>
      <c r="R363" s="75"/>
      <c r="S363" s="75"/>
      <c r="T363" s="75"/>
      <c r="U363" s="75"/>
      <c r="V363" s="77"/>
      <c r="W363" s="75"/>
      <c r="X363" s="75"/>
      <c r="Y363" s="75"/>
      <c r="Z363" s="78"/>
      <c r="AA363" s="78"/>
      <c r="AB363" s="75"/>
      <c r="AC363" s="75"/>
      <c r="AD363" s="75"/>
      <c r="AE363" s="75"/>
      <c r="AF363" s="75"/>
      <c r="AG363" s="75"/>
      <c r="AH363" s="75"/>
      <c r="AI363" s="75"/>
      <c r="AJ363" s="81"/>
      <c r="AK363" s="75"/>
      <c r="AL363" s="75"/>
    </row>
    <row r="364" spans="1:38" s="69" customFormat="1" x14ac:dyDescent="0.25">
      <c r="A364" s="75"/>
      <c r="B364" s="75"/>
      <c r="C364" s="76"/>
      <c r="D364" s="76"/>
      <c r="E364" s="75"/>
      <c r="F364" s="75"/>
      <c r="G364" s="75"/>
      <c r="H364" s="75"/>
      <c r="I364" s="75"/>
      <c r="J364" s="75"/>
      <c r="K364" s="75"/>
      <c r="L364" s="75"/>
      <c r="M364" s="75"/>
      <c r="N364" s="75"/>
      <c r="O364" s="75"/>
      <c r="P364" s="75"/>
      <c r="Q364" s="75"/>
      <c r="R364" s="75"/>
      <c r="S364" s="75"/>
      <c r="T364" s="75"/>
      <c r="U364" s="75"/>
      <c r="V364" s="77"/>
      <c r="W364" s="75"/>
      <c r="X364" s="75"/>
      <c r="Y364" s="75"/>
      <c r="Z364" s="78"/>
      <c r="AA364" s="78"/>
      <c r="AB364" s="75"/>
      <c r="AC364" s="75"/>
      <c r="AD364" s="75"/>
      <c r="AE364" s="75"/>
      <c r="AF364" s="75"/>
      <c r="AG364" s="75"/>
      <c r="AH364" s="75"/>
      <c r="AI364" s="75"/>
      <c r="AJ364" s="81"/>
      <c r="AK364" s="75"/>
      <c r="AL364" s="75"/>
    </row>
    <row r="365" spans="1:38" s="69" customFormat="1" x14ac:dyDescent="0.25">
      <c r="A365" s="75"/>
      <c r="B365" s="75"/>
      <c r="C365" s="76"/>
      <c r="D365" s="76"/>
      <c r="E365" s="75"/>
      <c r="F365" s="75"/>
      <c r="G365" s="75"/>
      <c r="H365" s="75"/>
      <c r="I365" s="75"/>
      <c r="J365" s="75"/>
      <c r="K365" s="75"/>
      <c r="L365" s="75"/>
      <c r="M365" s="75"/>
      <c r="N365" s="75"/>
      <c r="O365" s="75"/>
      <c r="P365" s="75"/>
      <c r="Q365" s="75"/>
      <c r="R365" s="75"/>
      <c r="S365" s="75"/>
      <c r="T365" s="75"/>
      <c r="U365" s="75"/>
      <c r="V365" s="77"/>
      <c r="W365" s="75"/>
      <c r="X365" s="75"/>
      <c r="Y365" s="75"/>
      <c r="Z365" s="78"/>
      <c r="AA365" s="78"/>
      <c r="AB365" s="75"/>
      <c r="AC365" s="75"/>
      <c r="AD365" s="75"/>
      <c r="AE365" s="75"/>
      <c r="AF365" s="75"/>
      <c r="AG365" s="75"/>
      <c r="AH365" s="75"/>
      <c r="AI365" s="75"/>
      <c r="AJ365" s="81"/>
      <c r="AK365" s="75"/>
      <c r="AL365" s="75"/>
    </row>
    <row r="366" spans="1:38" s="69" customFormat="1" x14ac:dyDescent="0.25">
      <c r="A366" s="75"/>
      <c r="B366" s="75"/>
      <c r="C366" s="76"/>
      <c r="D366" s="76"/>
      <c r="E366" s="75"/>
      <c r="F366" s="75"/>
      <c r="G366" s="75"/>
      <c r="H366" s="75"/>
      <c r="I366" s="75"/>
      <c r="J366" s="75"/>
      <c r="K366" s="75"/>
      <c r="L366" s="75"/>
      <c r="M366" s="75"/>
      <c r="N366" s="75"/>
      <c r="O366" s="75"/>
      <c r="P366" s="75"/>
      <c r="Q366" s="75"/>
      <c r="R366" s="75"/>
      <c r="S366" s="75"/>
      <c r="T366" s="75"/>
      <c r="U366" s="75"/>
      <c r="V366" s="77"/>
      <c r="W366" s="75"/>
      <c r="X366" s="75"/>
      <c r="Y366" s="75"/>
      <c r="Z366" s="78"/>
      <c r="AA366" s="78"/>
      <c r="AB366" s="75"/>
      <c r="AJ366" s="72"/>
    </row>
    <row r="367" spans="1:38" s="69" customFormat="1" x14ac:dyDescent="0.25">
      <c r="A367" s="75"/>
      <c r="B367" s="75"/>
      <c r="C367" s="76"/>
      <c r="D367" s="76"/>
      <c r="E367" s="75"/>
      <c r="F367" s="75"/>
      <c r="G367" s="75"/>
      <c r="H367" s="75"/>
      <c r="I367" s="75"/>
      <c r="J367" s="75"/>
      <c r="K367" s="75"/>
      <c r="L367" s="75"/>
      <c r="M367" s="75"/>
      <c r="N367" s="75"/>
      <c r="O367" s="75"/>
      <c r="P367" s="75"/>
      <c r="Q367" s="75"/>
      <c r="R367" s="75"/>
      <c r="S367" s="75"/>
      <c r="T367" s="75"/>
      <c r="U367" s="75"/>
      <c r="V367" s="77"/>
      <c r="W367" s="75"/>
      <c r="X367" s="75"/>
      <c r="Y367" s="75"/>
      <c r="Z367" s="78"/>
      <c r="AA367" s="78"/>
      <c r="AB367" s="75"/>
      <c r="AJ367" s="72"/>
    </row>
    <row r="368" spans="1:38" s="69" customFormat="1" x14ac:dyDescent="0.25">
      <c r="A368" s="75"/>
      <c r="B368" s="75"/>
      <c r="C368" s="76"/>
      <c r="D368" s="76"/>
      <c r="E368" s="75"/>
      <c r="F368" s="75"/>
      <c r="G368" s="75"/>
      <c r="H368" s="75"/>
      <c r="I368" s="75"/>
      <c r="J368" s="75"/>
      <c r="K368" s="75"/>
      <c r="L368" s="75"/>
      <c r="M368" s="75"/>
      <c r="N368" s="75"/>
      <c r="O368" s="75"/>
      <c r="P368" s="75"/>
      <c r="Q368" s="75"/>
      <c r="R368" s="75"/>
      <c r="S368" s="75"/>
      <c r="T368" s="75"/>
      <c r="U368" s="75"/>
      <c r="V368" s="77"/>
      <c r="W368" s="75"/>
      <c r="X368" s="75"/>
      <c r="Y368" s="75"/>
      <c r="Z368" s="78"/>
      <c r="AA368" s="78"/>
      <c r="AB368" s="75"/>
      <c r="AJ368" s="72"/>
    </row>
    <row r="369" spans="1:36" s="69" customFormat="1" x14ac:dyDescent="0.25">
      <c r="A369" s="75"/>
      <c r="B369" s="75"/>
      <c r="C369" s="76"/>
      <c r="D369" s="76"/>
      <c r="E369" s="75"/>
      <c r="F369" s="75"/>
      <c r="G369" s="75"/>
      <c r="H369" s="75"/>
      <c r="I369" s="75"/>
      <c r="J369" s="75"/>
      <c r="K369" s="75"/>
      <c r="L369" s="75"/>
      <c r="M369" s="75"/>
      <c r="N369" s="75"/>
      <c r="O369" s="75"/>
      <c r="P369" s="75"/>
      <c r="Q369" s="75"/>
      <c r="R369" s="75"/>
      <c r="S369" s="75"/>
      <c r="T369" s="75"/>
      <c r="U369" s="75"/>
      <c r="V369" s="77"/>
      <c r="W369" s="75"/>
      <c r="X369" s="75"/>
      <c r="Y369" s="75"/>
      <c r="Z369" s="78"/>
      <c r="AA369" s="78"/>
      <c r="AB369" s="75"/>
      <c r="AJ369" s="72"/>
    </row>
    <row r="370" spans="1:36" s="69" customFormat="1" x14ac:dyDescent="0.25">
      <c r="A370" s="75"/>
      <c r="B370" s="75"/>
      <c r="C370" s="76"/>
      <c r="D370" s="76"/>
      <c r="E370" s="75"/>
      <c r="F370" s="75"/>
      <c r="G370" s="75"/>
      <c r="H370" s="75"/>
      <c r="I370" s="75"/>
      <c r="J370" s="75"/>
      <c r="K370" s="75"/>
      <c r="L370" s="75"/>
      <c r="M370" s="75"/>
      <c r="N370" s="75"/>
      <c r="O370" s="75"/>
      <c r="P370" s="75"/>
      <c r="Q370" s="75"/>
      <c r="R370" s="75"/>
      <c r="S370" s="75"/>
      <c r="T370" s="75"/>
      <c r="U370" s="75"/>
      <c r="V370" s="77"/>
      <c r="W370" s="75"/>
      <c r="X370" s="75"/>
      <c r="Y370" s="75"/>
      <c r="Z370" s="78"/>
      <c r="AA370" s="78"/>
      <c r="AB370" s="75"/>
      <c r="AJ370" s="72"/>
    </row>
    <row r="371" spans="1:36" s="69" customFormat="1" x14ac:dyDescent="0.25">
      <c r="A371" s="75"/>
      <c r="B371" s="75"/>
      <c r="C371" s="76"/>
      <c r="D371" s="76"/>
      <c r="E371" s="75"/>
      <c r="F371" s="75"/>
      <c r="G371" s="75"/>
      <c r="H371" s="75"/>
      <c r="I371" s="75"/>
      <c r="J371" s="75"/>
      <c r="K371" s="75"/>
      <c r="L371" s="75"/>
      <c r="M371" s="75"/>
      <c r="N371" s="75"/>
      <c r="O371" s="75"/>
      <c r="P371" s="75"/>
      <c r="Q371" s="75"/>
      <c r="R371" s="75"/>
      <c r="S371" s="75"/>
      <c r="T371" s="75"/>
      <c r="U371" s="75"/>
      <c r="V371" s="77"/>
      <c r="W371" s="75"/>
      <c r="X371" s="75"/>
      <c r="Y371" s="75"/>
      <c r="Z371" s="78"/>
      <c r="AA371" s="78"/>
      <c r="AB371" s="75"/>
      <c r="AJ371" s="72"/>
    </row>
    <row r="372" spans="1:36" s="69" customFormat="1" x14ac:dyDescent="0.25">
      <c r="A372" s="75"/>
      <c r="B372" s="75"/>
      <c r="C372" s="76"/>
      <c r="D372" s="76"/>
      <c r="E372" s="75"/>
      <c r="F372" s="75"/>
      <c r="G372" s="75"/>
      <c r="H372" s="75"/>
      <c r="I372" s="75"/>
      <c r="J372" s="75"/>
      <c r="K372" s="75"/>
      <c r="L372" s="75"/>
      <c r="M372" s="75"/>
      <c r="N372" s="75"/>
      <c r="O372" s="75"/>
      <c r="P372" s="75"/>
      <c r="Q372" s="75"/>
      <c r="R372" s="75"/>
      <c r="S372" s="75"/>
      <c r="T372" s="75"/>
      <c r="U372" s="75"/>
      <c r="V372" s="77"/>
      <c r="W372" s="75"/>
      <c r="X372" s="75"/>
      <c r="Y372" s="75"/>
      <c r="Z372" s="78"/>
      <c r="AA372" s="78"/>
      <c r="AB372" s="75"/>
      <c r="AJ372" s="72"/>
    </row>
    <row r="373" spans="1:36" s="69" customFormat="1" x14ac:dyDescent="0.25">
      <c r="A373" s="75"/>
      <c r="B373" s="75"/>
      <c r="C373" s="76"/>
      <c r="D373" s="76"/>
      <c r="E373" s="75"/>
      <c r="F373" s="75"/>
      <c r="G373" s="75"/>
      <c r="H373" s="75"/>
      <c r="I373" s="75"/>
      <c r="J373" s="75"/>
      <c r="K373" s="75"/>
      <c r="L373" s="75"/>
      <c r="M373" s="75"/>
      <c r="N373" s="75"/>
      <c r="O373" s="75"/>
      <c r="P373" s="75"/>
      <c r="Q373" s="75"/>
      <c r="R373" s="75"/>
      <c r="S373" s="75"/>
      <c r="T373" s="75"/>
      <c r="U373" s="75"/>
      <c r="V373" s="77"/>
      <c r="W373" s="75"/>
      <c r="X373" s="75"/>
      <c r="Y373" s="75"/>
      <c r="Z373" s="78"/>
      <c r="AA373" s="78"/>
      <c r="AB373" s="75"/>
      <c r="AJ373" s="72"/>
    </row>
    <row r="374" spans="1:36" s="69" customFormat="1" x14ac:dyDescent="0.25">
      <c r="A374" s="75"/>
      <c r="B374" s="75"/>
      <c r="C374" s="76"/>
      <c r="D374" s="76"/>
      <c r="E374" s="75"/>
      <c r="F374" s="75"/>
      <c r="G374" s="75"/>
      <c r="H374" s="75"/>
      <c r="I374" s="75"/>
      <c r="J374" s="75"/>
      <c r="K374" s="75"/>
      <c r="L374" s="75"/>
      <c r="M374" s="75"/>
      <c r="N374" s="75"/>
      <c r="O374" s="75"/>
      <c r="P374" s="75"/>
      <c r="Q374" s="75"/>
      <c r="R374" s="75"/>
      <c r="S374" s="75"/>
      <c r="T374" s="75"/>
      <c r="U374" s="75"/>
      <c r="V374" s="77"/>
      <c r="W374" s="75"/>
      <c r="X374" s="75"/>
      <c r="Y374" s="75"/>
      <c r="Z374" s="78"/>
      <c r="AA374" s="78"/>
      <c r="AB374" s="75"/>
      <c r="AJ374" s="72"/>
    </row>
    <row r="375" spans="1:36" s="69" customFormat="1" x14ac:dyDescent="0.25">
      <c r="A375" s="75"/>
      <c r="B375" s="75"/>
      <c r="C375" s="76"/>
      <c r="D375" s="76"/>
      <c r="E375" s="75"/>
      <c r="F375" s="75"/>
      <c r="G375" s="75"/>
      <c r="H375" s="75"/>
      <c r="I375" s="75"/>
      <c r="J375" s="75"/>
      <c r="K375" s="75"/>
      <c r="L375" s="75"/>
      <c r="M375" s="75"/>
      <c r="N375" s="75"/>
      <c r="O375" s="75"/>
      <c r="P375" s="75"/>
      <c r="Q375" s="75"/>
      <c r="R375" s="75"/>
      <c r="S375" s="75"/>
      <c r="T375" s="75"/>
      <c r="U375" s="75"/>
      <c r="V375" s="77"/>
      <c r="W375" s="75"/>
      <c r="X375" s="75"/>
      <c r="Y375" s="75"/>
      <c r="Z375" s="78"/>
      <c r="AA375" s="78"/>
      <c r="AB375" s="75"/>
      <c r="AJ375" s="72"/>
    </row>
    <row r="376" spans="1:36" s="69" customFormat="1" x14ac:dyDescent="0.25">
      <c r="A376" s="75"/>
      <c r="B376" s="75"/>
      <c r="C376" s="76"/>
      <c r="D376" s="76"/>
      <c r="E376" s="75"/>
      <c r="F376" s="75"/>
      <c r="G376" s="75"/>
      <c r="H376" s="75"/>
      <c r="I376" s="75"/>
      <c r="J376" s="75"/>
      <c r="K376" s="75"/>
      <c r="L376" s="75"/>
      <c r="M376" s="75"/>
      <c r="N376" s="75"/>
      <c r="O376" s="75"/>
      <c r="P376" s="75"/>
      <c r="Q376" s="75"/>
      <c r="R376" s="75"/>
      <c r="S376" s="75"/>
      <c r="T376" s="75"/>
      <c r="U376" s="75"/>
      <c r="V376" s="77"/>
      <c r="W376" s="75"/>
      <c r="X376" s="75"/>
      <c r="Y376" s="75"/>
      <c r="Z376" s="78"/>
      <c r="AA376" s="78"/>
      <c r="AB376" s="75"/>
      <c r="AJ376" s="72"/>
    </row>
    <row r="377" spans="1:36" s="69" customFormat="1" x14ac:dyDescent="0.25">
      <c r="A377" s="75"/>
      <c r="B377" s="75"/>
      <c r="C377" s="76"/>
      <c r="D377" s="76"/>
      <c r="E377" s="75"/>
      <c r="F377" s="75"/>
      <c r="G377" s="75"/>
      <c r="H377" s="75"/>
      <c r="I377" s="75"/>
      <c r="J377" s="75"/>
      <c r="K377" s="75"/>
      <c r="L377" s="75"/>
      <c r="M377" s="75"/>
      <c r="N377" s="75"/>
      <c r="O377" s="75"/>
      <c r="P377" s="75"/>
      <c r="Q377" s="75"/>
      <c r="R377" s="75"/>
      <c r="S377" s="75"/>
      <c r="T377" s="75"/>
      <c r="U377" s="75"/>
      <c r="V377" s="77"/>
      <c r="W377" s="75"/>
      <c r="X377" s="75"/>
      <c r="Y377" s="75"/>
      <c r="Z377" s="78"/>
      <c r="AA377" s="78"/>
      <c r="AB377" s="75"/>
      <c r="AJ377" s="72"/>
    </row>
    <row r="378" spans="1:36" s="69" customFormat="1" x14ac:dyDescent="0.25">
      <c r="A378" s="75"/>
      <c r="B378" s="75"/>
      <c r="C378" s="76"/>
      <c r="D378" s="76"/>
      <c r="E378" s="75"/>
      <c r="F378" s="75"/>
      <c r="G378" s="75"/>
      <c r="H378" s="75"/>
      <c r="I378" s="75"/>
      <c r="J378" s="75"/>
      <c r="K378" s="75"/>
      <c r="L378" s="75"/>
      <c r="M378" s="75"/>
      <c r="N378" s="75"/>
      <c r="O378" s="75"/>
      <c r="P378" s="75"/>
      <c r="Q378" s="75"/>
      <c r="R378" s="75"/>
      <c r="S378" s="75"/>
      <c r="T378" s="75"/>
      <c r="U378" s="75"/>
      <c r="V378" s="77"/>
      <c r="W378" s="75"/>
      <c r="X378" s="75"/>
      <c r="Y378" s="75"/>
      <c r="Z378" s="78"/>
      <c r="AA378" s="78"/>
      <c r="AB378" s="75"/>
      <c r="AJ378" s="72"/>
    </row>
    <row r="379" spans="1:36" s="69" customFormat="1" x14ac:dyDescent="0.25">
      <c r="A379" s="75"/>
      <c r="B379" s="75"/>
      <c r="C379" s="76"/>
      <c r="D379" s="76"/>
      <c r="E379" s="75"/>
      <c r="F379" s="75"/>
      <c r="G379" s="75"/>
      <c r="H379" s="75"/>
      <c r="I379" s="75"/>
      <c r="J379" s="75"/>
      <c r="K379" s="75"/>
      <c r="L379" s="75"/>
      <c r="M379" s="75"/>
      <c r="N379" s="75"/>
      <c r="O379" s="75"/>
      <c r="P379" s="75"/>
      <c r="Q379" s="75"/>
      <c r="R379" s="75"/>
      <c r="S379" s="75"/>
      <c r="T379" s="75"/>
      <c r="U379" s="75"/>
      <c r="V379" s="77"/>
      <c r="W379" s="75"/>
      <c r="X379" s="75"/>
      <c r="Y379" s="75"/>
      <c r="Z379" s="78"/>
      <c r="AA379" s="78"/>
      <c r="AB379" s="75"/>
      <c r="AJ379" s="72"/>
    </row>
    <row r="380" spans="1:36" s="69" customFormat="1" x14ac:dyDescent="0.25">
      <c r="A380" s="75"/>
      <c r="B380" s="75"/>
      <c r="C380" s="76"/>
      <c r="D380" s="76"/>
      <c r="E380" s="75"/>
      <c r="F380" s="75"/>
      <c r="G380" s="75"/>
      <c r="H380" s="75"/>
      <c r="I380" s="75"/>
      <c r="J380" s="75"/>
      <c r="K380" s="75"/>
      <c r="L380" s="75"/>
      <c r="M380" s="75"/>
      <c r="N380" s="75"/>
      <c r="O380" s="75"/>
      <c r="P380" s="75"/>
      <c r="Q380" s="75"/>
      <c r="R380" s="75"/>
      <c r="S380" s="75"/>
      <c r="T380" s="75"/>
      <c r="U380" s="75"/>
      <c r="V380" s="77"/>
      <c r="W380" s="75"/>
      <c r="X380" s="75"/>
      <c r="Y380" s="75"/>
      <c r="Z380" s="78"/>
      <c r="AA380" s="78"/>
      <c r="AB380" s="75"/>
      <c r="AJ380" s="72"/>
    </row>
    <row r="381" spans="1:36" s="69" customFormat="1" x14ac:dyDescent="0.25">
      <c r="A381" s="75"/>
      <c r="B381" s="75"/>
      <c r="C381" s="76"/>
      <c r="D381" s="76"/>
      <c r="E381" s="75"/>
      <c r="F381" s="75"/>
      <c r="G381" s="75"/>
      <c r="H381" s="75"/>
      <c r="I381" s="75"/>
      <c r="J381" s="75"/>
      <c r="K381" s="75"/>
      <c r="L381" s="75"/>
      <c r="M381" s="75"/>
      <c r="N381" s="75"/>
      <c r="O381" s="75"/>
      <c r="P381" s="75"/>
      <c r="Q381" s="75"/>
      <c r="R381" s="75"/>
      <c r="S381" s="75"/>
      <c r="T381" s="75"/>
      <c r="U381" s="75"/>
      <c r="V381" s="77"/>
      <c r="W381" s="75"/>
      <c r="X381" s="75"/>
      <c r="Y381" s="75"/>
      <c r="Z381" s="78"/>
      <c r="AA381" s="78"/>
      <c r="AB381" s="75"/>
      <c r="AJ381" s="72"/>
    </row>
    <row r="382" spans="1:36" s="69" customFormat="1" x14ac:dyDescent="0.25">
      <c r="A382" s="75"/>
      <c r="B382" s="75"/>
      <c r="C382" s="76"/>
      <c r="D382" s="76"/>
      <c r="E382" s="75"/>
      <c r="F382" s="75"/>
      <c r="G382" s="75"/>
      <c r="H382" s="75"/>
      <c r="I382" s="75"/>
      <c r="J382" s="75"/>
      <c r="K382" s="75"/>
      <c r="L382" s="75"/>
      <c r="M382" s="75"/>
      <c r="N382" s="75"/>
      <c r="O382" s="75"/>
      <c r="P382" s="75"/>
      <c r="Q382" s="75"/>
      <c r="R382" s="75"/>
      <c r="S382" s="75"/>
      <c r="T382" s="75"/>
      <c r="U382" s="75"/>
      <c r="V382" s="77"/>
      <c r="W382" s="75"/>
      <c r="X382" s="75"/>
      <c r="Y382" s="75"/>
      <c r="Z382" s="78"/>
      <c r="AA382" s="78"/>
      <c r="AB382" s="75"/>
      <c r="AJ382" s="72"/>
    </row>
    <row r="383" spans="1:36" s="69" customFormat="1" x14ac:dyDescent="0.25">
      <c r="A383" s="75"/>
      <c r="B383" s="75"/>
      <c r="C383" s="76"/>
      <c r="D383" s="76"/>
      <c r="E383" s="75"/>
      <c r="F383" s="75"/>
      <c r="G383" s="75"/>
      <c r="H383" s="75"/>
      <c r="I383" s="75"/>
      <c r="J383" s="75"/>
      <c r="K383" s="75"/>
      <c r="L383" s="75"/>
      <c r="M383" s="75"/>
      <c r="N383" s="75"/>
      <c r="O383" s="75"/>
      <c r="P383" s="75"/>
      <c r="Q383" s="75"/>
      <c r="R383" s="75"/>
      <c r="S383" s="75"/>
      <c r="T383" s="75"/>
      <c r="U383" s="75"/>
      <c r="V383" s="77"/>
      <c r="W383" s="75"/>
      <c r="X383" s="75"/>
      <c r="Y383" s="75"/>
      <c r="Z383" s="78"/>
      <c r="AA383" s="78"/>
      <c r="AB383" s="75"/>
      <c r="AJ383" s="72"/>
    </row>
    <row r="384" spans="1:36" s="69" customFormat="1" x14ac:dyDescent="0.25">
      <c r="A384" s="75"/>
      <c r="B384" s="75"/>
      <c r="C384" s="76"/>
      <c r="D384" s="76"/>
      <c r="E384" s="75"/>
      <c r="F384" s="75"/>
      <c r="G384" s="75"/>
      <c r="H384" s="75"/>
      <c r="I384" s="75"/>
      <c r="J384" s="75"/>
      <c r="K384" s="75"/>
      <c r="L384" s="75"/>
      <c r="M384" s="75"/>
      <c r="N384" s="75"/>
      <c r="O384" s="75"/>
      <c r="P384" s="75"/>
      <c r="Q384" s="75"/>
      <c r="R384" s="75"/>
      <c r="S384" s="75"/>
      <c r="T384" s="75"/>
      <c r="U384" s="75"/>
      <c r="V384" s="77"/>
      <c r="W384" s="75"/>
      <c r="X384" s="75"/>
      <c r="Y384" s="75"/>
      <c r="Z384" s="78"/>
      <c r="AA384" s="78"/>
      <c r="AB384" s="75"/>
      <c r="AJ384" s="72"/>
    </row>
    <row r="385" spans="1:36" s="69" customFormat="1" x14ac:dyDescent="0.25">
      <c r="A385" s="75"/>
      <c r="B385" s="75"/>
      <c r="C385" s="76"/>
      <c r="D385" s="76"/>
      <c r="E385" s="75"/>
      <c r="F385" s="75"/>
      <c r="G385" s="75"/>
      <c r="H385" s="75"/>
      <c r="I385" s="75"/>
      <c r="J385" s="75"/>
      <c r="K385" s="75"/>
      <c r="L385" s="75"/>
      <c r="M385" s="75"/>
      <c r="N385" s="75"/>
      <c r="O385" s="75"/>
      <c r="P385" s="75"/>
      <c r="Q385" s="75"/>
      <c r="R385" s="75"/>
      <c r="S385" s="75"/>
      <c r="T385" s="75"/>
      <c r="U385" s="75"/>
      <c r="V385" s="77"/>
      <c r="W385" s="75"/>
      <c r="X385" s="75"/>
      <c r="Y385" s="75"/>
      <c r="Z385" s="78"/>
      <c r="AA385" s="78"/>
      <c r="AB385" s="75"/>
      <c r="AJ385" s="72"/>
    </row>
    <row r="386" spans="1:36" s="69" customFormat="1" x14ac:dyDescent="0.25">
      <c r="A386" s="75"/>
      <c r="B386" s="75"/>
      <c r="C386" s="76"/>
      <c r="D386" s="76"/>
      <c r="E386" s="75"/>
      <c r="F386" s="75"/>
      <c r="G386" s="75"/>
      <c r="H386" s="75"/>
      <c r="I386" s="75"/>
      <c r="J386" s="75"/>
      <c r="K386" s="75"/>
      <c r="L386" s="75"/>
      <c r="M386" s="75"/>
      <c r="N386" s="75"/>
      <c r="O386" s="75"/>
      <c r="P386" s="75"/>
      <c r="Q386" s="75"/>
      <c r="R386" s="75"/>
      <c r="S386" s="75"/>
      <c r="T386" s="75"/>
      <c r="U386" s="75"/>
      <c r="V386" s="77"/>
      <c r="W386" s="75"/>
      <c r="X386" s="75"/>
      <c r="Y386" s="75"/>
      <c r="Z386" s="78"/>
      <c r="AA386" s="78"/>
      <c r="AB386" s="75"/>
      <c r="AJ386" s="72"/>
    </row>
    <row r="387" spans="1:36" s="69" customFormat="1" x14ac:dyDescent="0.25">
      <c r="A387" s="75"/>
      <c r="B387" s="75"/>
      <c r="C387" s="76"/>
      <c r="D387" s="76"/>
      <c r="E387" s="75"/>
      <c r="F387" s="75"/>
      <c r="G387" s="75"/>
      <c r="H387" s="75"/>
      <c r="I387" s="75"/>
      <c r="J387" s="75"/>
      <c r="K387" s="75"/>
      <c r="L387" s="75"/>
      <c r="M387" s="75"/>
      <c r="N387" s="75"/>
      <c r="O387" s="75"/>
      <c r="P387" s="75"/>
      <c r="Q387" s="75"/>
      <c r="R387" s="75"/>
      <c r="S387" s="75"/>
      <c r="T387" s="75"/>
      <c r="U387" s="75"/>
      <c r="V387" s="77"/>
      <c r="W387" s="75"/>
      <c r="X387" s="75"/>
      <c r="Y387" s="75"/>
      <c r="Z387" s="78"/>
      <c r="AA387" s="78"/>
      <c r="AB387" s="75"/>
      <c r="AJ387" s="72"/>
    </row>
    <row r="388" spans="1:36" s="69" customFormat="1" x14ac:dyDescent="0.25">
      <c r="A388" s="75"/>
      <c r="B388" s="75"/>
      <c r="C388" s="76"/>
      <c r="D388" s="76"/>
      <c r="E388" s="75"/>
      <c r="F388" s="75"/>
      <c r="G388" s="75"/>
      <c r="H388" s="75"/>
      <c r="I388" s="75"/>
      <c r="J388" s="75"/>
      <c r="K388" s="75"/>
      <c r="L388" s="75"/>
      <c r="M388" s="75"/>
      <c r="N388" s="75"/>
      <c r="O388" s="75"/>
      <c r="P388" s="75"/>
      <c r="Q388" s="75"/>
      <c r="R388" s="75"/>
      <c r="S388" s="75"/>
      <c r="T388" s="75"/>
      <c r="U388" s="75"/>
      <c r="V388" s="77"/>
      <c r="W388" s="75"/>
      <c r="X388" s="75"/>
      <c r="Y388" s="75"/>
      <c r="Z388" s="78"/>
      <c r="AA388" s="78"/>
      <c r="AB388" s="75"/>
      <c r="AJ388" s="72"/>
    </row>
    <row r="389" spans="1:36" s="69" customFormat="1" x14ac:dyDescent="0.25">
      <c r="A389" s="75"/>
      <c r="B389" s="75"/>
      <c r="C389" s="76"/>
      <c r="D389" s="76"/>
      <c r="E389" s="75"/>
      <c r="F389" s="75"/>
      <c r="G389" s="75"/>
      <c r="H389" s="75"/>
      <c r="I389" s="75"/>
      <c r="J389" s="75"/>
      <c r="K389" s="75"/>
      <c r="L389" s="75"/>
      <c r="M389" s="75"/>
      <c r="N389" s="75"/>
      <c r="O389" s="75"/>
      <c r="P389" s="75"/>
      <c r="Q389" s="75"/>
      <c r="R389" s="75"/>
      <c r="S389" s="75"/>
      <c r="T389" s="75"/>
      <c r="U389" s="75"/>
      <c r="V389" s="77"/>
      <c r="W389" s="75"/>
      <c r="X389" s="75"/>
      <c r="Y389" s="75"/>
      <c r="Z389" s="78"/>
      <c r="AA389" s="78"/>
      <c r="AB389" s="75"/>
      <c r="AJ389" s="72"/>
    </row>
    <row r="390" spans="1:36" s="69" customFormat="1" x14ac:dyDescent="0.25">
      <c r="A390" s="75"/>
      <c r="B390" s="75"/>
      <c r="C390" s="76"/>
      <c r="D390" s="76"/>
      <c r="E390" s="75"/>
      <c r="F390" s="75"/>
      <c r="G390" s="75"/>
      <c r="H390" s="75"/>
      <c r="I390" s="75"/>
      <c r="J390" s="75"/>
      <c r="K390" s="75"/>
      <c r="L390" s="75"/>
      <c r="M390" s="75"/>
      <c r="N390" s="75"/>
      <c r="O390" s="75"/>
      <c r="P390" s="75"/>
      <c r="Q390" s="75"/>
      <c r="R390" s="75"/>
      <c r="S390" s="75"/>
      <c r="T390" s="75"/>
      <c r="U390" s="75"/>
      <c r="V390" s="77"/>
      <c r="W390" s="75"/>
      <c r="X390" s="75"/>
      <c r="Y390" s="75"/>
      <c r="Z390" s="78"/>
      <c r="AA390" s="78"/>
      <c r="AB390" s="75"/>
      <c r="AJ390" s="72"/>
    </row>
    <row r="391" spans="1:36" s="69" customFormat="1" x14ac:dyDescent="0.25">
      <c r="A391" s="75"/>
      <c r="B391" s="75"/>
      <c r="C391" s="76"/>
      <c r="D391" s="76"/>
      <c r="E391" s="75"/>
      <c r="F391" s="75"/>
      <c r="G391" s="75"/>
      <c r="H391" s="75"/>
      <c r="I391" s="75"/>
      <c r="J391" s="75"/>
      <c r="K391" s="75"/>
      <c r="L391" s="75"/>
      <c r="M391" s="75"/>
      <c r="N391" s="75"/>
      <c r="O391" s="75"/>
      <c r="P391" s="75"/>
      <c r="Q391" s="75"/>
      <c r="R391" s="75"/>
      <c r="S391" s="75"/>
      <c r="T391" s="75"/>
      <c r="U391" s="75"/>
      <c r="V391" s="77"/>
      <c r="W391" s="75"/>
      <c r="X391" s="75"/>
      <c r="Y391" s="75"/>
      <c r="Z391" s="78"/>
      <c r="AA391" s="78"/>
      <c r="AB391" s="75"/>
      <c r="AJ391" s="72"/>
    </row>
    <row r="392" spans="1:36" s="69" customFormat="1" x14ac:dyDescent="0.25">
      <c r="A392" s="75"/>
      <c r="B392" s="75"/>
      <c r="C392" s="76"/>
      <c r="D392" s="76"/>
      <c r="E392" s="75"/>
      <c r="F392" s="75"/>
      <c r="G392" s="75"/>
      <c r="H392" s="75"/>
      <c r="I392" s="75"/>
      <c r="J392" s="75"/>
      <c r="K392" s="75"/>
      <c r="L392" s="75"/>
      <c r="M392" s="75"/>
      <c r="N392" s="75"/>
      <c r="O392" s="75"/>
      <c r="P392" s="75"/>
      <c r="Q392" s="75"/>
      <c r="R392" s="75"/>
      <c r="S392" s="75"/>
      <c r="T392" s="75"/>
      <c r="U392" s="75"/>
      <c r="V392" s="77"/>
      <c r="W392" s="75"/>
      <c r="X392" s="75"/>
      <c r="Y392" s="75"/>
      <c r="Z392" s="78"/>
      <c r="AA392" s="78"/>
      <c r="AB392" s="75"/>
      <c r="AJ392" s="72"/>
    </row>
    <row r="393" spans="1:36" s="69" customFormat="1" x14ac:dyDescent="0.25">
      <c r="A393" s="75"/>
      <c r="B393" s="75"/>
      <c r="C393" s="76"/>
      <c r="D393" s="76"/>
      <c r="E393" s="75"/>
      <c r="F393" s="75"/>
      <c r="G393" s="75"/>
      <c r="H393" s="75"/>
      <c r="I393" s="75"/>
      <c r="J393" s="75"/>
      <c r="K393" s="75"/>
      <c r="L393" s="75"/>
      <c r="M393" s="75"/>
      <c r="N393" s="75"/>
      <c r="O393" s="75"/>
      <c r="P393" s="75"/>
      <c r="Q393" s="75"/>
      <c r="R393" s="75"/>
      <c r="S393" s="75"/>
      <c r="T393" s="75"/>
      <c r="U393" s="75"/>
      <c r="V393" s="77"/>
      <c r="W393" s="75"/>
      <c r="X393" s="75"/>
      <c r="Y393" s="75"/>
      <c r="Z393" s="78"/>
      <c r="AA393" s="78"/>
      <c r="AB393" s="75"/>
      <c r="AJ393" s="72"/>
    </row>
    <row r="394" spans="1:36" s="69" customFormat="1" x14ac:dyDescent="0.25">
      <c r="A394" s="75"/>
      <c r="B394" s="75"/>
      <c r="C394" s="76"/>
      <c r="D394" s="76"/>
      <c r="E394" s="75"/>
      <c r="F394" s="75"/>
      <c r="G394" s="75"/>
      <c r="H394" s="75"/>
      <c r="I394" s="75"/>
      <c r="J394" s="75"/>
      <c r="K394" s="75"/>
      <c r="L394" s="75"/>
      <c r="M394" s="75"/>
      <c r="N394" s="75"/>
      <c r="O394" s="75"/>
      <c r="P394" s="75"/>
      <c r="Q394" s="75"/>
      <c r="R394" s="75"/>
      <c r="S394" s="75"/>
      <c r="T394" s="75"/>
      <c r="U394" s="75"/>
      <c r="V394" s="77"/>
      <c r="W394" s="75"/>
      <c r="X394" s="75"/>
      <c r="Y394" s="75"/>
      <c r="Z394" s="78"/>
      <c r="AA394" s="78"/>
      <c r="AB394" s="75"/>
      <c r="AJ394" s="72"/>
    </row>
    <row r="395" spans="1:36" s="69" customFormat="1" x14ac:dyDescent="0.25">
      <c r="A395" s="75"/>
      <c r="B395" s="75"/>
      <c r="C395" s="76"/>
      <c r="D395" s="76"/>
      <c r="E395" s="75"/>
      <c r="F395" s="75"/>
      <c r="G395" s="75"/>
      <c r="H395" s="75"/>
      <c r="I395" s="75"/>
      <c r="J395" s="75"/>
      <c r="K395" s="75"/>
      <c r="L395" s="75"/>
      <c r="M395" s="75"/>
      <c r="N395" s="75"/>
      <c r="O395" s="75"/>
      <c r="P395" s="75"/>
      <c r="Q395" s="75"/>
      <c r="R395" s="75"/>
      <c r="S395" s="75"/>
      <c r="T395" s="75"/>
      <c r="U395" s="75"/>
      <c r="V395" s="77"/>
      <c r="W395" s="75"/>
      <c r="X395" s="75"/>
      <c r="Y395" s="75"/>
      <c r="Z395" s="78"/>
      <c r="AA395" s="78"/>
      <c r="AB395" s="75"/>
      <c r="AJ395" s="72"/>
    </row>
    <row r="396" spans="1:36" s="69" customFormat="1" x14ac:dyDescent="0.25">
      <c r="A396" s="75"/>
      <c r="B396" s="75"/>
      <c r="C396" s="76"/>
      <c r="D396" s="76"/>
      <c r="E396" s="75"/>
      <c r="F396" s="75"/>
      <c r="G396" s="75"/>
      <c r="H396" s="75"/>
      <c r="I396" s="75"/>
      <c r="J396" s="75"/>
      <c r="K396" s="75"/>
      <c r="L396" s="75"/>
      <c r="M396" s="75"/>
      <c r="N396" s="75"/>
      <c r="O396" s="75"/>
      <c r="P396" s="75"/>
      <c r="Q396" s="75"/>
      <c r="R396" s="75"/>
      <c r="S396" s="75"/>
      <c r="T396" s="75"/>
      <c r="U396" s="75"/>
      <c r="V396" s="77"/>
      <c r="W396" s="75"/>
      <c r="X396" s="75"/>
      <c r="Y396" s="75"/>
      <c r="Z396" s="78"/>
      <c r="AA396" s="78"/>
      <c r="AB396" s="75"/>
      <c r="AJ396" s="72"/>
    </row>
    <row r="397" spans="1:36" s="69" customFormat="1" x14ac:dyDescent="0.25">
      <c r="A397" s="75"/>
      <c r="B397" s="75"/>
      <c r="C397" s="76"/>
      <c r="D397" s="76"/>
      <c r="E397" s="75"/>
      <c r="F397" s="75"/>
      <c r="G397" s="75"/>
      <c r="H397" s="75"/>
      <c r="I397" s="75"/>
      <c r="J397" s="75"/>
      <c r="K397" s="75"/>
      <c r="L397" s="75"/>
      <c r="M397" s="75"/>
      <c r="N397" s="75"/>
      <c r="O397" s="75"/>
      <c r="P397" s="75"/>
      <c r="Q397" s="75"/>
      <c r="R397" s="75"/>
      <c r="S397" s="75"/>
      <c r="T397" s="75"/>
      <c r="U397" s="75"/>
      <c r="V397" s="77"/>
      <c r="W397" s="75"/>
      <c r="X397" s="75"/>
      <c r="Y397" s="75"/>
      <c r="Z397" s="78"/>
      <c r="AA397" s="78"/>
      <c r="AB397" s="75"/>
      <c r="AJ397" s="72"/>
    </row>
    <row r="398" spans="1:36" s="69" customFormat="1" x14ac:dyDescent="0.25">
      <c r="A398" s="75"/>
      <c r="B398" s="75"/>
      <c r="C398" s="76"/>
      <c r="D398" s="76"/>
      <c r="E398" s="75"/>
      <c r="F398" s="75"/>
      <c r="G398" s="75"/>
      <c r="H398" s="75"/>
      <c r="I398" s="75"/>
      <c r="J398" s="75"/>
      <c r="K398" s="75"/>
      <c r="L398" s="75"/>
      <c r="M398" s="75"/>
      <c r="N398" s="75"/>
      <c r="O398" s="75"/>
      <c r="P398" s="75"/>
      <c r="Q398" s="75"/>
      <c r="R398" s="75"/>
      <c r="S398" s="75"/>
      <c r="T398" s="75"/>
      <c r="U398" s="75"/>
      <c r="V398" s="77"/>
      <c r="W398" s="75"/>
      <c r="X398" s="75"/>
      <c r="Y398" s="75"/>
      <c r="Z398" s="78"/>
      <c r="AA398" s="78"/>
      <c r="AB398" s="75"/>
      <c r="AJ398" s="72"/>
    </row>
    <row r="399" spans="1:36" s="69" customFormat="1" x14ac:dyDescent="0.25">
      <c r="A399" s="75"/>
      <c r="B399" s="75"/>
      <c r="C399" s="76"/>
      <c r="D399" s="76"/>
      <c r="E399" s="75"/>
      <c r="F399" s="75"/>
      <c r="G399" s="75"/>
      <c r="H399" s="75"/>
      <c r="I399" s="75"/>
      <c r="J399" s="75"/>
      <c r="K399" s="75"/>
      <c r="L399" s="75"/>
      <c r="M399" s="75"/>
      <c r="N399" s="75"/>
      <c r="O399" s="75"/>
      <c r="P399" s="75"/>
      <c r="Q399" s="75"/>
      <c r="R399" s="75"/>
      <c r="S399" s="75"/>
      <c r="T399" s="75"/>
      <c r="U399" s="75"/>
      <c r="V399" s="77"/>
      <c r="W399" s="75"/>
      <c r="X399" s="75"/>
      <c r="Y399" s="75"/>
      <c r="Z399" s="78"/>
      <c r="AA399" s="78"/>
      <c r="AB399" s="75"/>
      <c r="AJ399" s="72"/>
    </row>
    <row r="400" spans="1:36" s="69" customFormat="1" x14ac:dyDescent="0.25">
      <c r="A400" s="75"/>
      <c r="B400" s="75"/>
      <c r="C400" s="76"/>
      <c r="D400" s="76"/>
      <c r="E400" s="75"/>
      <c r="F400" s="75"/>
      <c r="G400" s="75"/>
      <c r="H400" s="75"/>
      <c r="I400" s="75"/>
      <c r="J400" s="75"/>
      <c r="K400" s="75"/>
      <c r="L400" s="75"/>
      <c r="M400" s="75"/>
      <c r="N400" s="75"/>
      <c r="O400" s="75"/>
      <c r="P400" s="75"/>
      <c r="Q400" s="75"/>
      <c r="R400" s="75"/>
      <c r="S400" s="75"/>
      <c r="T400" s="75"/>
      <c r="U400" s="75"/>
      <c r="V400" s="77"/>
      <c r="W400" s="75"/>
      <c r="X400" s="75"/>
      <c r="Y400" s="75"/>
      <c r="Z400" s="78"/>
      <c r="AA400" s="78"/>
      <c r="AB400" s="75"/>
      <c r="AJ400" s="72"/>
    </row>
    <row r="401" spans="1:36" s="69" customFormat="1" x14ac:dyDescent="0.25">
      <c r="A401" s="75"/>
      <c r="B401" s="75"/>
      <c r="C401" s="76"/>
      <c r="D401" s="76"/>
      <c r="E401" s="75"/>
      <c r="F401" s="75"/>
      <c r="G401" s="75"/>
      <c r="H401" s="75"/>
      <c r="I401" s="75"/>
      <c r="J401" s="75"/>
      <c r="K401" s="75"/>
      <c r="L401" s="75"/>
      <c r="M401" s="75"/>
      <c r="N401" s="75"/>
      <c r="O401" s="75"/>
      <c r="P401" s="75"/>
      <c r="Q401" s="75"/>
      <c r="R401" s="75"/>
      <c r="S401" s="75"/>
      <c r="T401" s="75"/>
      <c r="U401" s="75"/>
      <c r="V401" s="77"/>
      <c r="W401" s="75"/>
      <c r="X401" s="75"/>
      <c r="Y401" s="75"/>
      <c r="Z401" s="78"/>
      <c r="AA401" s="78"/>
      <c r="AB401" s="75"/>
      <c r="AJ401" s="72"/>
    </row>
    <row r="402" spans="1:36" s="69" customFormat="1" x14ac:dyDescent="0.25">
      <c r="A402" s="75"/>
      <c r="B402" s="75"/>
      <c r="C402" s="76"/>
      <c r="D402" s="76"/>
      <c r="E402" s="75"/>
      <c r="F402" s="75"/>
      <c r="G402" s="75"/>
      <c r="H402" s="75"/>
      <c r="I402" s="75"/>
      <c r="J402" s="75"/>
      <c r="K402" s="75"/>
      <c r="L402" s="75"/>
      <c r="M402" s="75"/>
      <c r="N402" s="75"/>
      <c r="O402" s="75"/>
      <c r="P402" s="75"/>
      <c r="Q402" s="75"/>
      <c r="R402" s="75"/>
      <c r="S402" s="75"/>
      <c r="T402" s="75"/>
      <c r="U402" s="75"/>
      <c r="V402" s="77"/>
      <c r="W402" s="75"/>
      <c r="X402" s="75"/>
      <c r="Y402" s="75"/>
      <c r="Z402" s="78"/>
      <c r="AA402" s="78"/>
      <c r="AB402" s="75"/>
      <c r="AJ402" s="72"/>
    </row>
    <row r="403" spans="1:36" s="69" customFormat="1" x14ac:dyDescent="0.25">
      <c r="A403" s="75"/>
      <c r="B403" s="75"/>
      <c r="C403" s="76"/>
      <c r="D403" s="76"/>
      <c r="E403" s="75"/>
      <c r="F403" s="75"/>
      <c r="G403" s="75"/>
      <c r="H403" s="75"/>
      <c r="I403" s="75"/>
      <c r="J403" s="75"/>
      <c r="K403" s="75"/>
      <c r="L403" s="75"/>
      <c r="M403" s="75"/>
      <c r="N403" s="75"/>
      <c r="O403" s="75"/>
      <c r="P403" s="75"/>
      <c r="Q403" s="75"/>
      <c r="R403" s="75"/>
      <c r="S403" s="75"/>
      <c r="T403" s="75"/>
      <c r="U403" s="75"/>
      <c r="V403" s="77"/>
      <c r="W403" s="75"/>
      <c r="X403" s="75"/>
      <c r="Y403" s="75"/>
      <c r="Z403" s="78"/>
      <c r="AA403" s="78"/>
      <c r="AB403" s="75"/>
      <c r="AJ403" s="72"/>
    </row>
    <row r="404" spans="1:36" s="69" customFormat="1" x14ac:dyDescent="0.25">
      <c r="A404" s="75"/>
      <c r="B404" s="75"/>
      <c r="C404" s="76"/>
      <c r="D404" s="76"/>
      <c r="E404" s="75"/>
      <c r="F404" s="75"/>
      <c r="G404" s="75"/>
      <c r="H404" s="75"/>
      <c r="I404" s="75"/>
      <c r="J404" s="75"/>
      <c r="K404" s="75"/>
      <c r="L404" s="75"/>
      <c r="M404" s="75"/>
      <c r="N404" s="75"/>
      <c r="O404" s="75"/>
      <c r="P404" s="75"/>
      <c r="Q404" s="75"/>
      <c r="R404" s="75"/>
      <c r="S404" s="75"/>
      <c r="T404" s="75"/>
      <c r="U404" s="75"/>
      <c r="V404" s="77"/>
      <c r="W404" s="75"/>
      <c r="X404" s="75"/>
      <c r="Y404" s="75"/>
      <c r="Z404" s="78"/>
      <c r="AA404" s="78"/>
      <c r="AB404" s="75"/>
      <c r="AJ404" s="72"/>
    </row>
    <row r="405" spans="1:36" s="69" customFormat="1" x14ac:dyDescent="0.25">
      <c r="A405" s="75"/>
      <c r="B405" s="75"/>
      <c r="C405" s="76"/>
      <c r="D405" s="76"/>
      <c r="E405" s="75"/>
      <c r="F405" s="75"/>
      <c r="G405" s="75"/>
      <c r="H405" s="75"/>
      <c r="I405" s="75"/>
      <c r="J405" s="75"/>
      <c r="K405" s="75"/>
      <c r="L405" s="75"/>
      <c r="M405" s="75"/>
      <c r="N405" s="75"/>
      <c r="O405" s="75"/>
      <c r="P405" s="75"/>
      <c r="Q405" s="75"/>
      <c r="R405" s="75"/>
      <c r="S405" s="75"/>
      <c r="T405" s="75"/>
      <c r="U405" s="75"/>
      <c r="V405" s="77"/>
      <c r="W405" s="75"/>
      <c r="X405" s="75"/>
      <c r="Y405" s="75"/>
      <c r="Z405" s="78"/>
      <c r="AA405" s="78"/>
      <c r="AB405" s="75"/>
      <c r="AJ405" s="72"/>
    </row>
    <row r="406" spans="1:36" s="69" customFormat="1" x14ac:dyDescent="0.25">
      <c r="A406" s="75"/>
      <c r="B406" s="75"/>
      <c r="C406" s="76"/>
      <c r="D406" s="76"/>
      <c r="E406" s="75"/>
      <c r="F406" s="75"/>
      <c r="G406" s="75"/>
      <c r="H406" s="75"/>
      <c r="I406" s="75"/>
      <c r="J406" s="75"/>
      <c r="K406" s="75"/>
      <c r="L406" s="75"/>
      <c r="M406" s="75"/>
      <c r="N406" s="75"/>
      <c r="O406" s="75"/>
      <c r="P406" s="75"/>
      <c r="Q406" s="75"/>
      <c r="R406" s="75"/>
      <c r="S406" s="75"/>
      <c r="T406" s="75"/>
      <c r="U406" s="75"/>
      <c r="V406" s="77"/>
      <c r="W406" s="75"/>
      <c r="X406" s="75"/>
      <c r="Y406" s="75"/>
      <c r="Z406" s="78"/>
      <c r="AA406" s="78"/>
      <c r="AB406" s="75"/>
      <c r="AJ406" s="72"/>
    </row>
    <row r="407" spans="1:36" s="69" customFormat="1" x14ac:dyDescent="0.25">
      <c r="A407" s="75"/>
      <c r="B407" s="75"/>
      <c r="C407" s="76"/>
      <c r="D407" s="76"/>
      <c r="E407" s="75"/>
      <c r="F407" s="75"/>
      <c r="G407" s="75"/>
      <c r="H407" s="75"/>
      <c r="I407" s="75"/>
      <c r="J407" s="75"/>
      <c r="K407" s="75"/>
      <c r="L407" s="75"/>
      <c r="M407" s="75"/>
      <c r="N407" s="75"/>
      <c r="O407" s="75"/>
      <c r="P407" s="75"/>
      <c r="Q407" s="75"/>
      <c r="R407" s="75"/>
      <c r="S407" s="75"/>
      <c r="T407" s="75"/>
      <c r="U407" s="75"/>
      <c r="V407" s="77"/>
      <c r="W407" s="75"/>
      <c r="X407" s="75"/>
      <c r="Y407" s="75"/>
      <c r="Z407" s="78"/>
      <c r="AA407" s="78"/>
      <c r="AB407" s="75"/>
      <c r="AJ407" s="72"/>
    </row>
    <row r="408" spans="1:36" s="69" customFormat="1" x14ac:dyDescent="0.25">
      <c r="A408" s="75"/>
      <c r="B408" s="75"/>
      <c r="C408" s="76"/>
      <c r="D408" s="76"/>
      <c r="E408" s="75"/>
      <c r="F408" s="75"/>
      <c r="G408" s="75"/>
      <c r="H408" s="75"/>
      <c r="I408" s="75"/>
      <c r="J408" s="75"/>
      <c r="K408" s="75"/>
      <c r="L408" s="75"/>
      <c r="M408" s="75"/>
      <c r="N408" s="75"/>
      <c r="O408" s="75"/>
      <c r="P408" s="75"/>
      <c r="Q408" s="75"/>
      <c r="R408" s="75"/>
      <c r="S408" s="75"/>
      <c r="T408" s="75"/>
      <c r="U408" s="75"/>
      <c r="V408" s="77"/>
      <c r="W408" s="75"/>
      <c r="X408" s="75"/>
      <c r="Y408" s="75"/>
      <c r="Z408" s="78"/>
      <c r="AA408" s="78"/>
      <c r="AB408" s="75"/>
      <c r="AJ408" s="72"/>
    </row>
    <row r="409" spans="1:36" s="69" customFormat="1" x14ac:dyDescent="0.25">
      <c r="A409" s="75"/>
      <c r="B409" s="75"/>
      <c r="C409" s="76"/>
      <c r="D409" s="76"/>
      <c r="E409" s="75"/>
      <c r="F409" s="75"/>
      <c r="G409" s="75"/>
      <c r="H409" s="75"/>
      <c r="I409" s="75"/>
      <c r="J409" s="75"/>
      <c r="K409" s="75"/>
      <c r="L409" s="75"/>
      <c r="M409" s="75"/>
      <c r="N409" s="75"/>
      <c r="O409" s="75"/>
      <c r="P409" s="75"/>
      <c r="Q409" s="75"/>
      <c r="R409" s="75"/>
      <c r="S409" s="75"/>
      <c r="T409" s="75"/>
      <c r="U409" s="75"/>
      <c r="V409" s="77"/>
      <c r="W409" s="75"/>
      <c r="X409" s="75"/>
      <c r="Y409" s="75"/>
      <c r="Z409" s="78"/>
      <c r="AA409" s="78"/>
      <c r="AB409" s="75"/>
      <c r="AJ409" s="72"/>
    </row>
    <row r="410" spans="1:36" s="69" customFormat="1" x14ac:dyDescent="0.25">
      <c r="A410" s="75"/>
      <c r="B410" s="75"/>
      <c r="C410" s="76"/>
      <c r="D410" s="76"/>
      <c r="E410" s="75"/>
      <c r="F410" s="75"/>
      <c r="G410" s="75"/>
      <c r="H410" s="75"/>
      <c r="I410" s="75"/>
      <c r="J410" s="75"/>
      <c r="K410" s="75"/>
      <c r="L410" s="75"/>
      <c r="M410" s="75"/>
      <c r="N410" s="75"/>
      <c r="O410" s="75"/>
      <c r="P410" s="75"/>
      <c r="Q410" s="75"/>
      <c r="R410" s="75"/>
      <c r="S410" s="75"/>
      <c r="T410" s="75"/>
      <c r="U410" s="75"/>
      <c r="V410" s="77"/>
      <c r="W410" s="75"/>
      <c r="X410" s="75"/>
      <c r="Y410" s="75"/>
      <c r="Z410" s="78"/>
      <c r="AA410" s="78"/>
      <c r="AB410" s="75"/>
      <c r="AJ410" s="72"/>
    </row>
    <row r="411" spans="1:36" s="69" customFormat="1" x14ac:dyDescent="0.25">
      <c r="A411" s="75"/>
      <c r="B411" s="75"/>
      <c r="C411" s="76"/>
      <c r="D411" s="76"/>
      <c r="E411" s="75"/>
      <c r="F411" s="75"/>
      <c r="G411" s="75"/>
      <c r="H411" s="75"/>
      <c r="I411" s="75"/>
      <c r="J411" s="75"/>
      <c r="K411" s="75"/>
      <c r="L411" s="75"/>
      <c r="M411" s="75"/>
      <c r="N411" s="75"/>
      <c r="O411" s="75"/>
      <c r="P411" s="75"/>
      <c r="Q411" s="75"/>
      <c r="R411" s="75"/>
      <c r="S411" s="75"/>
      <c r="T411" s="75"/>
      <c r="U411" s="75"/>
      <c r="V411" s="77"/>
      <c r="W411" s="75"/>
      <c r="X411" s="75"/>
      <c r="Y411" s="75"/>
      <c r="Z411" s="78"/>
      <c r="AA411" s="78"/>
      <c r="AB411" s="75"/>
      <c r="AJ411" s="72"/>
    </row>
    <row r="412" spans="1:36" s="69" customFormat="1" x14ac:dyDescent="0.25">
      <c r="A412" s="75"/>
      <c r="B412" s="75"/>
      <c r="C412" s="76"/>
      <c r="D412" s="76"/>
      <c r="E412" s="75"/>
      <c r="F412" s="75"/>
      <c r="G412" s="75"/>
      <c r="H412" s="75"/>
      <c r="I412" s="75"/>
      <c r="J412" s="75"/>
      <c r="K412" s="75"/>
      <c r="L412" s="75"/>
      <c r="M412" s="75"/>
      <c r="N412" s="75"/>
      <c r="O412" s="75"/>
      <c r="P412" s="75"/>
      <c r="Q412" s="75"/>
      <c r="R412" s="75"/>
      <c r="S412" s="75"/>
      <c r="T412" s="75"/>
      <c r="U412" s="75"/>
      <c r="V412" s="77"/>
      <c r="W412" s="75"/>
      <c r="X412" s="75"/>
      <c r="Y412" s="75"/>
      <c r="Z412" s="78"/>
      <c r="AA412" s="78"/>
      <c r="AB412" s="75"/>
      <c r="AJ412" s="72"/>
    </row>
    <row r="413" spans="1:36" s="69" customFormat="1" x14ac:dyDescent="0.25">
      <c r="A413" s="75"/>
      <c r="B413" s="75"/>
      <c r="C413" s="76"/>
      <c r="D413" s="76"/>
      <c r="E413" s="75"/>
      <c r="F413" s="75"/>
      <c r="G413" s="75"/>
      <c r="H413" s="75"/>
      <c r="I413" s="75"/>
      <c r="J413" s="75"/>
      <c r="K413" s="75"/>
      <c r="L413" s="75"/>
      <c r="M413" s="75"/>
      <c r="N413" s="75"/>
      <c r="O413" s="75"/>
      <c r="P413" s="75"/>
      <c r="Q413" s="75"/>
      <c r="R413" s="75"/>
      <c r="S413" s="75"/>
      <c r="T413" s="75"/>
      <c r="U413" s="75"/>
      <c r="V413" s="77"/>
      <c r="W413" s="75"/>
      <c r="X413" s="75"/>
      <c r="Y413" s="75"/>
      <c r="Z413" s="78"/>
      <c r="AA413" s="78"/>
      <c r="AB413" s="75"/>
      <c r="AJ413" s="72"/>
    </row>
    <row r="414" spans="1:36" s="69" customFormat="1" x14ac:dyDescent="0.25">
      <c r="A414" s="75"/>
      <c r="B414" s="75"/>
      <c r="C414" s="76"/>
      <c r="D414" s="76"/>
      <c r="E414" s="75"/>
      <c r="F414" s="75"/>
      <c r="G414" s="75"/>
      <c r="H414" s="75"/>
      <c r="I414" s="75"/>
      <c r="J414" s="75"/>
      <c r="K414" s="75"/>
      <c r="L414" s="75"/>
      <c r="M414" s="75"/>
      <c r="N414" s="75"/>
      <c r="O414" s="75"/>
      <c r="P414" s="75"/>
      <c r="Q414" s="75"/>
      <c r="R414" s="75"/>
      <c r="S414" s="75"/>
      <c r="T414" s="75"/>
      <c r="U414" s="75"/>
      <c r="V414" s="77"/>
      <c r="W414" s="75"/>
      <c r="X414" s="75"/>
      <c r="Y414" s="75"/>
      <c r="Z414" s="78"/>
      <c r="AA414" s="78"/>
      <c r="AB414" s="75"/>
      <c r="AJ414" s="72"/>
    </row>
    <row r="415" spans="1:36" s="69" customFormat="1" x14ac:dyDescent="0.25">
      <c r="A415" s="75"/>
      <c r="B415" s="75"/>
      <c r="C415" s="76"/>
      <c r="D415" s="76"/>
      <c r="E415" s="75"/>
      <c r="F415" s="75"/>
      <c r="G415" s="75"/>
      <c r="H415" s="75"/>
      <c r="I415" s="75"/>
      <c r="J415" s="75"/>
      <c r="K415" s="75"/>
      <c r="L415" s="75"/>
      <c r="M415" s="75"/>
      <c r="N415" s="75"/>
      <c r="O415" s="75"/>
      <c r="P415" s="75"/>
      <c r="Q415" s="75"/>
      <c r="R415" s="75"/>
      <c r="S415" s="75"/>
      <c r="T415" s="75"/>
      <c r="U415" s="75"/>
      <c r="V415" s="77"/>
      <c r="W415" s="75"/>
      <c r="X415" s="75"/>
      <c r="Y415" s="75"/>
      <c r="Z415" s="78"/>
      <c r="AA415" s="78"/>
      <c r="AB415" s="75"/>
      <c r="AJ415" s="72"/>
    </row>
    <row r="416" spans="1:36" s="69" customFormat="1" x14ac:dyDescent="0.25">
      <c r="A416" s="75"/>
      <c r="B416" s="75"/>
      <c r="C416" s="76"/>
      <c r="D416" s="76"/>
      <c r="E416" s="75"/>
      <c r="F416" s="75"/>
      <c r="G416" s="75"/>
      <c r="H416" s="75"/>
      <c r="I416" s="75"/>
      <c r="J416" s="75"/>
      <c r="K416" s="75"/>
      <c r="L416" s="75"/>
      <c r="M416" s="75"/>
      <c r="N416" s="75"/>
      <c r="O416" s="75"/>
      <c r="P416" s="75"/>
      <c r="Q416" s="75"/>
      <c r="R416" s="75"/>
      <c r="S416" s="75"/>
      <c r="T416" s="75"/>
      <c r="U416" s="75"/>
      <c r="V416" s="77"/>
      <c r="W416" s="75"/>
      <c r="X416" s="75"/>
      <c r="Y416" s="75"/>
      <c r="Z416" s="78"/>
      <c r="AA416" s="78"/>
      <c r="AB416" s="75"/>
      <c r="AJ416" s="72"/>
    </row>
    <row r="417" spans="1:36" s="69" customFormat="1" x14ac:dyDescent="0.25">
      <c r="A417" s="75"/>
      <c r="B417" s="75"/>
      <c r="C417" s="76"/>
      <c r="D417" s="76"/>
      <c r="E417" s="75"/>
      <c r="F417" s="75"/>
      <c r="G417" s="75"/>
      <c r="H417" s="75"/>
      <c r="I417" s="75"/>
      <c r="J417" s="75"/>
      <c r="K417" s="75"/>
      <c r="L417" s="75"/>
      <c r="M417" s="75"/>
      <c r="N417" s="75"/>
      <c r="O417" s="75"/>
      <c r="P417" s="75"/>
      <c r="Q417" s="75"/>
      <c r="R417" s="75"/>
      <c r="S417" s="75"/>
      <c r="T417" s="75"/>
      <c r="U417" s="75"/>
      <c r="V417" s="77"/>
      <c r="W417" s="75"/>
      <c r="X417" s="75"/>
      <c r="Y417" s="75"/>
      <c r="Z417" s="78"/>
      <c r="AA417" s="78"/>
      <c r="AB417" s="75"/>
      <c r="AJ417" s="72"/>
    </row>
    <row r="418" spans="1:36" s="69" customFormat="1" x14ac:dyDescent="0.25">
      <c r="A418" s="75"/>
      <c r="B418" s="75"/>
      <c r="C418" s="76"/>
      <c r="D418" s="76"/>
      <c r="E418" s="75"/>
      <c r="F418" s="75"/>
      <c r="G418" s="75"/>
      <c r="H418" s="75"/>
      <c r="I418" s="75"/>
      <c r="J418" s="75"/>
      <c r="K418" s="75"/>
      <c r="L418" s="75"/>
      <c r="M418" s="75"/>
      <c r="N418" s="75"/>
      <c r="O418" s="75"/>
      <c r="P418" s="75"/>
      <c r="Q418" s="75"/>
      <c r="R418" s="75"/>
      <c r="S418" s="75"/>
      <c r="T418" s="75"/>
      <c r="U418" s="75"/>
      <c r="V418" s="77"/>
      <c r="W418" s="75"/>
      <c r="X418" s="75"/>
      <c r="Y418" s="75"/>
      <c r="Z418" s="78"/>
      <c r="AA418" s="78"/>
      <c r="AB418" s="75"/>
      <c r="AJ418" s="72"/>
    </row>
    <row r="419" spans="1:36" s="69" customFormat="1" x14ac:dyDescent="0.25">
      <c r="A419" s="75"/>
      <c r="B419" s="75"/>
      <c r="C419" s="76"/>
      <c r="D419" s="76"/>
      <c r="E419" s="75"/>
      <c r="F419" s="75"/>
      <c r="G419" s="75"/>
      <c r="H419" s="75"/>
      <c r="I419" s="75"/>
      <c r="J419" s="75"/>
      <c r="K419" s="75"/>
      <c r="L419" s="75"/>
      <c r="M419" s="75"/>
      <c r="N419" s="75"/>
      <c r="O419" s="75"/>
      <c r="P419" s="75"/>
      <c r="Q419" s="75"/>
      <c r="R419" s="75"/>
      <c r="S419" s="75"/>
      <c r="T419" s="75"/>
      <c r="U419" s="75"/>
      <c r="V419" s="77"/>
      <c r="W419" s="75"/>
      <c r="X419" s="75"/>
      <c r="Y419" s="75"/>
      <c r="Z419" s="78"/>
      <c r="AA419" s="78"/>
      <c r="AB419" s="75"/>
      <c r="AJ419" s="72"/>
    </row>
    <row r="420" spans="1:36" s="69" customFormat="1" x14ac:dyDescent="0.25">
      <c r="A420" s="75"/>
      <c r="B420" s="75"/>
      <c r="C420" s="76"/>
      <c r="D420" s="76"/>
      <c r="E420" s="75"/>
      <c r="F420" s="75"/>
      <c r="G420" s="75"/>
      <c r="H420" s="75"/>
      <c r="I420" s="75"/>
      <c r="J420" s="75"/>
      <c r="K420" s="75"/>
      <c r="L420" s="75"/>
      <c r="M420" s="75"/>
      <c r="N420" s="75"/>
      <c r="O420" s="75"/>
      <c r="P420" s="75"/>
      <c r="Q420" s="75"/>
      <c r="R420" s="75"/>
      <c r="S420" s="75"/>
      <c r="T420" s="75"/>
      <c r="U420" s="75"/>
      <c r="V420" s="77"/>
      <c r="W420" s="75"/>
      <c r="X420" s="75"/>
      <c r="Y420" s="75"/>
      <c r="Z420" s="78"/>
      <c r="AA420" s="78"/>
      <c r="AB420" s="75"/>
      <c r="AJ420" s="72"/>
    </row>
    <row r="421" spans="1:36" s="69" customFormat="1" x14ac:dyDescent="0.25">
      <c r="A421" s="75"/>
      <c r="B421" s="75"/>
      <c r="C421" s="76"/>
      <c r="D421" s="76"/>
      <c r="E421" s="75"/>
      <c r="F421" s="75"/>
      <c r="G421" s="75"/>
      <c r="H421" s="75"/>
      <c r="I421" s="75"/>
      <c r="J421" s="75"/>
      <c r="K421" s="75"/>
      <c r="L421" s="75"/>
      <c r="M421" s="75"/>
      <c r="N421" s="75"/>
      <c r="O421" s="75"/>
      <c r="P421" s="75"/>
      <c r="Q421" s="75"/>
      <c r="R421" s="75"/>
      <c r="S421" s="75"/>
      <c r="T421" s="75"/>
      <c r="U421" s="75"/>
      <c r="V421" s="77"/>
      <c r="W421" s="75"/>
      <c r="X421" s="75"/>
      <c r="Y421" s="75"/>
      <c r="Z421" s="78"/>
      <c r="AA421" s="78"/>
      <c r="AB421" s="75"/>
      <c r="AJ421" s="72"/>
    </row>
    <row r="422" spans="1:36" s="69" customFormat="1" x14ac:dyDescent="0.25">
      <c r="A422" s="75"/>
      <c r="B422" s="75"/>
      <c r="C422" s="76"/>
      <c r="D422" s="76"/>
      <c r="E422" s="75"/>
      <c r="F422" s="75"/>
      <c r="G422" s="75"/>
      <c r="H422" s="75"/>
      <c r="I422" s="75"/>
      <c r="J422" s="75"/>
      <c r="K422" s="75"/>
      <c r="L422" s="75"/>
      <c r="M422" s="75"/>
      <c r="N422" s="75"/>
      <c r="O422" s="75"/>
      <c r="P422" s="75"/>
      <c r="Q422" s="75"/>
      <c r="R422" s="75"/>
      <c r="S422" s="75"/>
      <c r="T422" s="75"/>
      <c r="U422" s="75"/>
      <c r="V422" s="77"/>
      <c r="W422" s="75"/>
      <c r="X422" s="75"/>
      <c r="Y422" s="75"/>
      <c r="Z422" s="78"/>
      <c r="AA422" s="78"/>
      <c r="AB422" s="75"/>
      <c r="AJ422" s="72"/>
    </row>
    <row r="423" spans="1:36" s="69" customFormat="1" x14ac:dyDescent="0.25">
      <c r="A423" s="75"/>
      <c r="B423" s="75"/>
      <c r="C423" s="76"/>
      <c r="D423" s="76"/>
      <c r="E423" s="75"/>
      <c r="F423" s="75"/>
      <c r="G423" s="75"/>
      <c r="H423" s="75"/>
      <c r="I423" s="75"/>
      <c r="J423" s="75"/>
      <c r="K423" s="75"/>
      <c r="L423" s="75"/>
      <c r="M423" s="75"/>
      <c r="N423" s="75"/>
      <c r="O423" s="75"/>
      <c r="P423" s="75"/>
      <c r="Q423" s="75"/>
      <c r="R423" s="75"/>
      <c r="S423" s="75"/>
      <c r="T423" s="75"/>
      <c r="U423" s="75"/>
      <c r="V423" s="77"/>
      <c r="W423" s="75"/>
      <c r="X423" s="75"/>
      <c r="Y423" s="75"/>
      <c r="Z423" s="78"/>
      <c r="AA423" s="78"/>
      <c r="AB423" s="75"/>
      <c r="AJ423" s="72"/>
    </row>
    <row r="424" spans="1:36" s="69" customFormat="1" x14ac:dyDescent="0.25">
      <c r="A424" s="75"/>
      <c r="B424" s="75"/>
      <c r="C424" s="76"/>
      <c r="D424" s="76"/>
      <c r="E424" s="75"/>
      <c r="F424" s="75"/>
      <c r="G424" s="75"/>
      <c r="H424" s="75"/>
      <c r="I424" s="75"/>
      <c r="J424" s="75"/>
      <c r="K424" s="75"/>
      <c r="L424" s="75"/>
      <c r="M424" s="75"/>
      <c r="N424" s="75"/>
      <c r="O424" s="75"/>
      <c r="P424" s="75"/>
      <c r="Q424" s="75"/>
      <c r="R424" s="75"/>
      <c r="S424" s="75"/>
      <c r="T424" s="75"/>
      <c r="U424" s="75"/>
      <c r="V424" s="77"/>
      <c r="W424" s="75"/>
      <c r="X424" s="75"/>
      <c r="Y424" s="75"/>
      <c r="Z424" s="78"/>
      <c r="AA424" s="78"/>
      <c r="AB424" s="75"/>
      <c r="AJ424" s="72"/>
    </row>
    <row r="425" spans="1:36" s="69" customFormat="1" x14ac:dyDescent="0.25">
      <c r="A425" s="75"/>
      <c r="B425" s="75"/>
      <c r="C425" s="76"/>
      <c r="D425" s="76"/>
      <c r="E425" s="75"/>
      <c r="F425" s="75"/>
      <c r="G425" s="75"/>
      <c r="H425" s="75"/>
      <c r="I425" s="75"/>
      <c r="J425" s="75"/>
      <c r="K425" s="75"/>
      <c r="L425" s="75"/>
      <c r="M425" s="75"/>
      <c r="N425" s="75"/>
      <c r="O425" s="75"/>
      <c r="P425" s="75"/>
      <c r="Q425" s="75"/>
      <c r="R425" s="75"/>
      <c r="S425" s="75"/>
      <c r="T425" s="75"/>
      <c r="U425" s="75"/>
      <c r="V425" s="77"/>
      <c r="W425" s="75"/>
      <c r="X425" s="75"/>
      <c r="Y425" s="75"/>
      <c r="Z425" s="78"/>
      <c r="AA425" s="78"/>
      <c r="AB425" s="75"/>
      <c r="AJ425" s="72"/>
    </row>
    <row r="426" spans="1:36" s="69" customFormat="1" x14ac:dyDescent="0.25">
      <c r="A426" s="75"/>
      <c r="B426" s="75"/>
      <c r="C426" s="76"/>
      <c r="D426" s="76"/>
      <c r="E426" s="75"/>
      <c r="F426" s="75"/>
      <c r="G426" s="75"/>
      <c r="H426" s="75"/>
      <c r="I426" s="75"/>
      <c r="J426" s="75"/>
      <c r="K426" s="75"/>
      <c r="L426" s="75"/>
      <c r="M426" s="75"/>
      <c r="N426" s="75"/>
      <c r="O426" s="75"/>
      <c r="P426" s="75"/>
      <c r="Q426" s="75"/>
      <c r="R426" s="75"/>
      <c r="S426" s="75"/>
      <c r="T426" s="75"/>
      <c r="U426" s="75"/>
      <c r="V426" s="77"/>
      <c r="W426" s="75"/>
      <c r="X426" s="75"/>
      <c r="Y426" s="75"/>
      <c r="Z426" s="78"/>
      <c r="AA426" s="78"/>
      <c r="AB426" s="75"/>
      <c r="AJ426" s="72"/>
    </row>
    <row r="427" spans="1:36" s="69" customFormat="1" x14ac:dyDescent="0.25">
      <c r="A427" s="75"/>
      <c r="B427" s="75"/>
      <c r="C427" s="76"/>
      <c r="D427" s="76"/>
      <c r="E427" s="75"/>
      <c r="F427" s="75"/>
      <c r="G427" s="75"/>
      <c r="H427" s="75"/>
      <c r="I427" s="75"/>
      <c r="J427" s="75"/>
      <c r="K427" s="75"/>
      <c r="L427" s="75"/>
      <c r="M427" s="75"/>
      <c r="N427" s="75"/>
      <c r="O427" s="75"/>
      <c r="P427" s="75"/>
      <c r="Q427" s="75"/>
      <c r="R427" s="75"/>
      <c r="S427" s="75"/>
      <c r="T427" s="75"/>
      <c r="U427" s="75"/>
      <c r="V427" s="77"/>
      <c r="W427" s="75"/>
      <c r="X427" s="75"/>
      <c r="Y427" s="75"/>
      <c r="Z427" s="78"/>
      <c r="AA427" s="78"/>
      <c r="AB427" s="75"/>
      <c r="AJ427" s="72"/>
    </row>
    <row r="428" spans="1:36" s="69" customFormat="1" x14ac:dyDescent="0.25">
      <c r="A428" s="75"/>
      <c r="B428" s="75"/>
      <c r="C428" s="76"/>
      <c r="D428" s="76"/>
      <c r="E428" s="75"/>
      <c r="F428" s="75"/>
      <c r="G428" s="75"/>
      <c r="H428" s="75"/>
      <c r="I428" s="75"/>
      <c r="J428" s="75"/>
      <c r="K428" s="75"/>
      <c r="L428" s="75"/>
      <c r="M428" s="75"/>
      <c r="N428" s="75"/>
      <c r="O428" s="75"/>
      <c r="P428" s="75"/>
      <c r="Q428" s="75"/>
      <c r="R428" s="75"/>
      <c r="S428" s="75"/>
      <c r="T428" s="75"/>
      <c r="U428" s="75"/>
      <c r="V428" s="77"/>
      <c r="W428" s="75"/>
      <c r="X428" s="75"/>
      <c r="Y428" s="75"/>
      <c r="Z428" s="78"/>
      <c r="AA428" s="78"/>
      <c r="AB428" s="75"/>
      <c r="AJ428" s="72"/>
    </row>
    <row r="429" spans="1:36" s="69" customFormat="1" x14ac:dyDescent="0.25">
      <c r="A429" s="75"/>
      <c r="B429" s="75"/>
      <c r="C429" s="76"/>
      <c r="D429" s="76"/>
      <c r="E429" s="75"/>
      <c r="F429" s="75"/>
      <c r="G429" s="75"/>
      <c r="H429" s="75"/>
      <c r="I429" s="75"/>
      <c r="J429" s="75"/>
      <c r="K429" s="75"/>
      <c r="L429" s="75"/>
      <c r="M429" s="75"/>
      <c r="N429" s="75"/>
      <c r="O429" s="75"/>
      <c r="P429" s="75"/>
      <c r="Q429" s="75"/>
      <c r="R429" s="75"/>
      <c r="S429" s="75"/>
      <c r="T429" s="75"/>
      <c r="U429" s="75"/>
      <c r="V429" s="77"/>
      <c r="W429" s="75"/>
      <c r="X429" s="75"/>
      <c r="Y429" s="75"/>
      <c r="Z429" s="78"/>
      <c r="AA429" s="78"/>
      <c r="AB429" s="75"/>
      <c r="AJ429" s="72"/>
    </row>
    <row r="430" spans="1:36" s="69" customFormat="1" x14ac:dyDescent="0.25">
      <c r="A430" s="75"/>
      <c r="B430" s="75"/>
      <c r="C430" s="76"/>
      <c r="D430" s="76"/>
      <c r="E430" s="75"/>
      <c r="F430" s="75"/>
      <c r="G430" s="75"/>
      <c r="H430" s="75"/>
      <c r="I430" s="75"/>
      <c r="J430" s="75"/>
      <c r="K430" s="75"/>
      <c r="L430" s="75"/>
      <c r="M430" s="75"/>
      <c r="N430" s="75"/>
      <c r="O430" s="75"/>
      <c r="P430" s="75"/>
      <c r="Q430" s="75"/>
      <c r="R430" s="75"/>
      <c r="S430" s="75"/>
      <c r="T430" s="75"/>
      <c r="U430" s="75"/>
      <c r="V430" s="77"/>
      <c r="W430" s="75"/>
      <c r="X430" s="75"/>
      <c r="Y430" s="75"/>
      <c r="Z430" s="78"/>
      <c r="AA430" s="78"/>
      <c r="AB430" s="75"/>
      <c r="AJ430" s="72"/>
    </row>
    <row r="431" spans="1:36" s="69" customFormat="1" x14ac:dyDescent="0.25">
      <c r="A431" s="75"/>
      <c r="B431" s="75"/>
      <c r="C431" s="76"/>
      <c r="D431" s="76"/>
      <c r="E431" s="75"/>
      <c r="F431" s="75"/>
      <c r="G431" s="75"/>
      <c r="H431" s="75"/>
      <c r="I431" s="75"/>
      <c r="J431" s="75"/>
      <c r="K431" s="75"/>
      <c r="L431" s="75"/>
      <c r="M431" s="75"/>
      <c r="N431" s="75"/>
      <c r="O431" s="75"/>
      <c r="P431" s="75"/>
      <c r="Q431" s="75"/>
      <c r="R431" s="75"/>
      <c r="S431" s="75"/>
      <c r="T431" s="75"/>
      <c r="U431" s="75"/>
      <c r="V431" s="77"/>
      <c r="W431" s="75"/>
      <c r="X431" s="75"/>
      <c r="Y431" s="75"/>
      <c r="Z431" s="78"/>
      <c r="AA431" s="78"/>
      <c r="AB431" s="75"/>
      <c r="AJ431" s="72"/>
    </row>
    <row r="432" spans="1:36" s="69" customFormat="1" x14ac:dyDescent="0.25">
      <c r="A432" s="75"/>
      <c r="B432" s="75"/>
      <c r="C432" s="76"/>
      <c r="D432" s="76"/>
      <c r="E432" s="75"/>
      <c r="F432" s="75"/>
      <c r="G432" s="75"/>
      <c r="H432" s="75"/>
      <c r="I432" s="75"/>
      <c r="J432" s="75"/>
      <c r="K432" s="75"/>
      <c r="L432" s="75"/>
      <c r="M432" s="75"/>
      <c r="N432" s="75"/>
      <c r="O432" s="75"/>
      <c r="P432" s="75"/>
      <c r="Q432" s="75"/>
      <c r="R432" s="75"/>
      <c r="S432" s="75"/>
      <c r="T432" s="75"/>
      <c r="U432" s="75"/>
      <c r="V432" s="77"/>
      <c r="W432" s="75"/>
      <c r="X432" s="75"/>
      <c r="Y432" s="75"/>
      <c r="Z432" s="78"/>
      <c r="AA432" s="78"/>
      <c r="AB432" s="75"/>
      <c r="AJ432" s="72"/>
    </row>
    <row r="433" spans="1:36" s="69" customFormat="1" x14ac:dyDescent="0.25">
      <c r="A433" s="75"/>
      <c r="B433" s="75"/>
      <c r="C433" s="76"/>
      <c r="D433" s="76"/>
      <c r="E433" s="75"/>
      <c r="F433" s="75"/>
      <c r="G433" s="75"/>
      <c r="H433" s="75"/>
      <c r="I433" s="75"/>
      <c r="J433" s="75"/>
      <c r="K433" s="75"/>
      <c r="L433" s="75"/>
      <c r="M433" s="75"/>
      <c r="N433" s="75"/>
      <c r="O433" s="75"/>
      <c r="P433" s="75"/>
      <c r="Q433" s="75"/>
      <c r="R433" s="75"/>
      <c r="S433" s="75"/>
      <c r="T433" s="75"/>
      <c r="U433" s="75"/>
      <c r="V433" s="77"/>
      <c r="W433" s="75"/>
      <c r="X433" s="75"/>
      <c r="Y433" s="75"/>
      <c r="Z433" s="78"/>
      <c r="AA433" s="78"/>
      <c r="AB433" s="75"/>
      <c r="AJ433" s="72"/>
    </row>
    <row r="434" spans="1:36" s="69" customFormat="1" x14ac:dyDescent="0.25">
      <c r="A434" s="75"/>
      <c r="B434" s="75"/>
      <c r="C434" s="76"/>
      <c r="D434" s="76"/>
      <c r="E434" s="75"/>
      <c r="F434" s="75"/>
      <c r="G434" s="75"/>
      <c r="H434" s="75"/>
      <c r="I434" s="75"/>
      <c r="J434" s="75"/>
      <c r="K434" s="75"/>
      <c r="L434" s="75"/>
      <c r="M434" s="75"/>
      <c r="N434" s="75"/>
      <c r="O434" s="75"/>
      <c r="P434" s="75"/>
      <c r="Q434" s="75"/>
      <c r="R434" s="75"/>
      <c r="S434" s="75"/>
      <c r="T434" s="75"/>
      <c r="U434" s="75"/>
      <c r="V434" s="77"/>
      <c r="W434" s="75"/>
      <c r="X434" s="75"/>
      <c r="Y434" s="75"/>
      <c r="Z434" s="78"/>
      <c r="AA434" s="78"/>
      <c r="AB434" s="75"/>
      <c r="AJ434" s="72"/>
    </row>
    <row r="435" spans="1:36" s="69" customFormat="1" x14ac:dyDescent="0.25">
      <c r="A435" s="75"/>
      <c r="B435" s="75"/>
      <c r="C435" s="76"/>
      <c r="D435" s="76"/>
      <c r="E435" s="75"/>
      <c r="F435" s="75"/>
      <c r="G435" s="75"/>
      <c r="H435" s="75"/>
      <c r="I435" s="75"/>
      <c r="J435" s="75"/>
      <c r="K435" s="75"/>
      <c r="L435" s="75"/>
      <c r="M435" s="75"/>
      <c r="N435" s="75"/>
      <c r="O435" s="75"/>
      <c r="P435" s="75"/>
      <c r="Q435" s="75"/>
      <c r="R435" s="75"/>
      <c r="S435" s="75"/>
      <c r="T435" s="75"/>
      <c r="U435" s="75"/>
      <c r="V435" s="77"/>
      <c r="W435" s="75"/>
      <c r="X435" s="75"/>
      <c r="Y435" s="75"/>
      <c r="Z435" s="78"/>
      <c r="AA435" s="78"/>
      <c r="AB435" s="75"/>
      <c r="AJ435" s="72"/>
    </row>
    <row r="436" spans="1:36" s="69" customFormat="1" x14ac:dyDescent="0.25">
      <c r="A436" s="75"/>
      <c r="B436" s="75"/>
      <c r="C436" s="76"/>
      <c r="D436" s="76"/>
      <c r="E436" s="75"/>
      <c r="F436" s="75"/>
      <c r="G436" s="75"/>
      <c r="H436" s="75"/>
      <c r="I436" s="75"/>
      <c r="J436" s="75"/>
      <c r="K436" s="75"/>
      <c r="L436" s="75"/>
      <c r="M436" s="75"/>
      <c r="N436" s="75"/>
      <c r="O436" s="75"/>
      <c r="P436" s="75"/>
      <c r="Q436" s="75"/>
      <c r="R436" s="75"/>
      <c r="S436" s="75"/>
      <c r="T436" s="75"/>
      <c r="U436" s="75"/>
      <c r="V436" s="77"/>
      <c r="W436" s="75"/>
      <c r="X436" s="75"/>
      <c r="Y436" s="75"/>
      <c r="Z436" s="78"/>
      <c r="AA436" s="78"/>
      <c r="AB436" s="75"/>
      <c r="AJ436" s="72"/>
    </row>
    <row r="437" spans="1:36" s="69" customFormat="1" x14ac:dyDescent="0.25">
      <c r="A437" s="75"/>
      <c r="B437" s="75"/>
      <c r="C437" s="76"/>
      <c r="D437" s="76"/>
      <c r="E437" s="75"/>
      <c r="F437" s="75"/>
      <c r="G437" s="75"/>
      <c r="H437" s="75"/>
      <c r="I437" s="75"/>
      <c r="J437" s="75"/>
      <c r="K437" s="75"/>
      <c r="L437" s="75"/>
      <c r="M437" s="75"/>
      <c r="N437" s="75"/>
      <c r="O437" s="75"/>
      <c r="P437" s="75"/>
      <c r="Q437" s="75"/>
      <c r="R437" s="75"/>
      <c r="S437" s="75"/>
      <c r="T437" s="75"/>
      <c r="U437" s="75"/>
      <c r="V437" s="77"/>
      <c r="W437" s="75"/>
      <c r="X437" s="75"/>
      <c r="Y437" s="75"/>
      <c r="Z437" s="78"/>
      <c r="AA437" s="78"/>
      <c r="AB437" s="75"/>
      <c r="AJ437" s="72"/>
    </row>
    <row r="438" spans="1:36" s="69" customFormat="1" x14ac:dyDescent="0.25">
      <c r="A438" s="75"/>
      <c r="B438" s="75"/>
      <c r="C438" s="76"/>
      <c r="D438" s="76"/>
      <c r="E438" s="75"/>
      <c r="F438" s="75"/>
      <c r="G438" s="75"/>
      <c r="H438" s="75"/>
      <c r="I438" s="75"/>
      <c r="J438" s="75"/>
      <c r="K438" s="75"/>
      <c r="L438" s="75"/>
      <c r="M438" s="75"/>
      <c r="N438" s="75"/>
      <c r="O438" s="75"/>
      <c r="P438" s="75"/>
      <c r="Q438" s="75"/>
      <c r="R438" s="75"/>
      <c r="S438" s="75"/>
      <c r="T438" s="75"/>
      <c r="U438" s="75"/>
      <c r="V438" s="77"/>
      <c r="W438" s="75"/>
      <c r="X438" s="75"/>
      <c r="Y438" s="75"/>
      <c r="Z438" s="78"/>
      <c r="AA438" s="78"/>
      <c r="AB438" s="75"/>
      <c r="AJ438" s="72"/>
    </row>
    <row r="439" spans="1:36" s="69" customFormat="1" x14ac:dyDescent="0.25">
      <c r="A439" s="75"/>
      <c r="B439" s="75"/>
      <c r="C439" s="76"/>
      <c r="D439" s="76"/>
      <c r="E439" s="75"/>
      <c r="F439" s="75"/>
      <c r="G439" s="75"/>
      <c r="H439" s="75"/>
      <c r="I439" s="75"/>
      <c r="J439" s="75"/>
      <c r="K439" s="75"/>
      <c r="L439" s="75"/>
      <c r="M439" s="75"/>
      <c r="N439" s="75"/>
      <c r="O439" s="75"/>
      <c r="P439" s="75"/>
      <c r="Q439" s="75"/>
      <c r="R439" s="75"/>
      <c r="S439" s="75"/>
      <c r="T439" s="75"/>
      <c r="U439" s="75"/>
      <c r="V439" s="77"/>
      <c r="W439" s="75"/>
      <c r="X439" s="75"/>
      <c r="Y439" s="75"/>
      <c r="Z439" s="78"/>
      <c r="AA439" s="78"/>
      <c r="AB439" s="75"/>
      <c r="AJ439" s="72"/>
    </row>
    <row r="440" spans="1:36" s="69" customFormat="1" x14ac:dyDescent="0.25">
      <c r="A440" s="75"/>
      <c r="B440" s="75"/>
      <c r="C440" s="76"/>
      <c r="D440" s="76"/>
      <c r="E440" s="75"/>
      <c r="F440" s="75"/>
      <c r="G440" s="75"/>
      <c r="H440" s="75"/>
      <c r="I440" s="75"/>
      <c r="J440" s="75"/>
      <c r="K440" s="75"/>
      <c r="L440" s="75"/>
      <c r="M440" s="75"/>
      <c r="N440" s="75"/>
      <c r="O440" s="75"/>
      <c r="P440" s="75"/>
      <c r="Q440" s="75"/>
      <c r="R440" s="75"/>
      <c r="S440" s="75"/>
      <c r="T440" s="75"/>
      <c r="U440" s="75"/>
      <c r="V440" s="77"/>
      <c r="W440" s="75"/>
      <c r="X440" s="75"/>
      <c r="Y440" s="75"/>
      <c r="Z440" s="78"/>
      <c r="AA440" s="78"/>
      <c r="AB440" s="75"/>
      <c r="AJ440" s="72"/>
    </row>
    <row r="441" spans="1:36" s="69" customFormat="1" x14ac:dyDescent="0.25">
      <c r="A441" s="75"/>
      <c r="B441" s="75"/>
      <c r="C441" s="76"/>
      <c r="D441" s="76"/>
      <c r="E441" s="75"/>
      <c r="F441" s="75"/>
      <c r="G441" s="75"/>
      <c r="H441" s="75"/>
      <c r="I441" s="75"/>
      <c r="J441" s="75"/>
      <c r="K441" s="75"/>
      <c r="L441" s="75"/>
      <c r="M441" s="75"/>
      <c r="N441" s="75"/>
      <c r="O441" s="75"/>
      <c r="P441" s="75"/>
      <c r="Q441" s="75"/>
      <c r="R441" s="75"/>
      <c r="S441" s="75"/>
      <c r="T441" s="75"/>
      <c r="U441" s="75"/>
      <c r="V441" s="77"/>
      <c r="W441" s="75"/>
      <c r="X441" s="75"/>
      <c r="Y441" s="75"/>
      <c r="Z441" s="78"/>
      <c r="AA441" s="78"/>
      <c r="AB441" s="75"/>
      <c r="AJ441" s="72"/>
    </row>
    <row r="442" spans="1:36" s="69" customFormat="1" x14ac:dyDescent="0.25">
      <c r="A442" s="75"/>
      <c r="B442" s="75"/>
      <c r="C442" s="76"/>
      <c r="D442" s="76"/>
      <c r="E442" s="75"/>
      <c r="F442" s="75"/>
      <c r="G442" s="75"/>
      <c r="H442" s="75"/>
      <c r="I442" s="75"/>
      <c r="J442" s="75"/>
      <c r="K442" s="75"/>
      <c r="L442" s="75"/>
      <c r="M442" s="75"/>
      <c r="N442" s="75"/>
      <c r="O442" s="75"/>
      <c r="P442" s="75"/>
      <c r="Q442" s="75"/>
      <c r="R442" s="75"/>
      <c r="S442" s="75"/>
      <c r="T442" s="75"/>
      <c r="U442" s="75"/>
      <c r="V442" s="77"/>
      <c r="W442" s="75"/>
      <c r="X442" s="75"/>
      <c r="Y442" s="75"/>
      <c r="Z442" s="78"/>
      <c r="AA442" s="78"/>
      <c r="AB442" s="75"/>
      <c r="AJ442" s="72"/>
    </row>
    <row r="443" spans="1:36" s="69" customFormat="1" x14ac:dyDescent="0.25">
      <c r="A443" s="75"/>
      <c r="B443" s="75"/>
      <c r="C443" s="76"/>
      <c r="D443" s="76"/>
      <c r="E443" s="75"/>
      <c r="F443" s="75"/>
      <c r="G443" s="75"/>
      <c r="H443" s="75"/>
      <c r="I443" s="75"/>
      <c r="J443" s="75"/>
      <c r="K443" s="75"/>
      <c r="L443" s="75"/>
      <c r="M443" s="75"/>
      <c r="N443" s="75"/>
      <c r="O443" s="75"/>
      <c r="P443" s="75"/>
      <c r="Q443" s="75"/>
      <c r="R443" s="75"/>
      <c r="S443" s="75"/>
      <c r="T443" s="75"/>
      <c r="U443" s="75"/>
      <c r="V443" s="77"/>
      <c r="W443" s="75"/>
      <c r="X443" s="75"/>
      <c r="Y443" s="75"/>
      <c r="Z443" s="78"/>
      <c r="AA443" s="78"/>
      <c r="AB443" s="75"/>
      <c r="AJ443" s="72"/>
    </row>
    <row r="444" spans="1:36" s="69" customFormat="1" x14ac:dyDescent="0.25">
      <c r="A444" s="75"/>
      <c r="B444" s="75"/>
      <c r="C444" s="76"/>
      <c r="D444" s="76"/>
      <c r="E444" s="75"/>
      <c r="F444" s="75"/>
      <c r="G444" s="75"/>
      <c r="H444" s="75"/>
      <c r="I444" s="75"/>
      <c r="J444" s="75"/>
      <c r="K444" s="75"/>
      <c r="L444" s="75"/>
      <c r="M444" s="75"/>
      <c r="N444" s="75"/>
      <c r="O444" s="75"/>
      <c r="P444" s="75"/>
      <c r="Q444" s="75"/>
      <c r="R444" s="75"/>
      <c r="S444" s="75"/>
      <c r="T444" s="75"/>
      <c r="U444" s="75"/>
      <c r="V444" s="77"/>
      <c r="W444" s="75"/>
      <c r="X444" s="75"/>
      <c r="Y444" s="75"/>
      <c r="Z444" s="78"/>
      <c r="AA444" s="78"/>
      <c r="AB444" s="75"/>
      <c r="AJ444" s="72"/>
    </row>
    <row r="445" spans="1:36" s="69" customFormat="1" x14ac:dyDescent="0.25">
      <c r="A445" s="75"/>
      <c r="B445" s="75"/>
      <c r="C445" s="76"/>
      <c r="D445" s="76"/>
      <c r="E445" s="75"/>
      <c r="F445" s="75"/>
      <c r="G445" s="75"/>
      <c r="H445" s="75"/>
      <c r="I445" s="75"/>
      <c r="J445" s="75"/>
      <c r="K445" s="75"/>
      <c r="L445" s="75"/>
      <c r="M445" s="75"/>
      <c r="N445" s="75"/>
      <c r="O445" s="75"/>
      <c r="P445" s="75"/>
      <c r="Q445" s="75"/>
      <c r="R445" s="75"/>
      <c r="S445" s="75"/>
      <c r="T445" s="75"/>
      <c r="U445" s="75"/>
      <c r="V445" s="77"/>
      <c r="W445" s="75"/>
      <c r="X445" s="75"/>
      <c r="Y445" s="75"/>
      <c r="Z445" s="78"/>
      <c r="AA445" s="78"/>
      <c r="AB445" s="75"/>
      <c r="AJ445" s="72"/>
    </row>
    <row r="446" spans="1:36" s="69" customFormat="1" x14ac:dyDescent="0.25">
      <c r="A446" s="75"/>
      <c r="B446" s="75"/>
      <c r="C446" s="76"/>
      <c r="D446" s="76"/>
      <c r="E446" s="75"/>
      <c r="F446" s="75"/>
      <c r="G446" s="75"/>
      <c r="H446" s="75"/>
      <c r="I446" s="75"/>
      <c r="J446" s="75"/>
      <c r="K446" s="75"/>
      <c r="L446" s="75"/>
      <c r="M446" s="75"/>
      <c r="N446" s="75"/>
      <c r="O446" s="75"/>
      <c r="P446" s="75"/>
      <c r="Q446" s="75"/>
      <c r="R446" s="75"/>
      <c r="S446" s="75"/>
      <c r="T446" s="75"/>
      <c r="U446" s="75"/>
      <c r="V446" s="77"/>
      <c r="W446" s="75"/>
      <c r="X446" s="75"/>
      <c r="Y446" s="75"/>
      <c r="Z446" s="78"/>
      <c r="AA446" s="78"/>
      <c r="AB446" s="75"/>
      <c r="AJ446" s="72"/>
    </row>
    <row r="447" spans="1:36" s="69" customFormat="1" x14ac:dyDescent="0.25">
      <c r="A447" s="75"/>
      <c r="B447" s="75"/>
      <c r="C447" s="76"/>
      <c r="D447" s="76"/>
      <c r="E447" s="75"/>
      <c r="F447" s="75"/>
      <c r="G447" s="75"/>
      <c r="H447" s="75"/>
      <c r="I447" s="75"/>
      <c r="J447" s="75"/>
      <c r="K447" s="75"/>
      <c r="L447" s="75"/>
      <c r="M447" s="75"/>
      <c r="N447" s="75"/>
      <c r="O447" s="75"/>
      <c r="P447" s="75"/>
      <c r="Q447" s="75"/>
      <c r="R447" s="75"/>
      <c r="S447" s="75"/>
      <c r="T447" s="75"/>
      <c r="U447" s="75"/>
      <c r="V447" s="77"/>
      <c r="W447" s="75"/>
      <c r="X447" s="75"/>
      <c r="Y447" s="75"/>
      <c r="Z447" s="78"/>
      <c r="AA447" s="78"/>
      <c r="AB447" s="75"/>
      <c r="AJ447" s="72"/>
    </row>
    <row r="448" spans="1:36" s="69" customFormat="1" x14ac:dyDescent="0.25">
      <c r="A448" s="75"/>
      <c r="B448" s="75"/>
      <c r="C448" s="76"/>
      <c r="D448" s="76"/>
      <c r="E448" s="75"/>
      <c r="F448" s="75"/>
      <c r="G448" s="75"/>
      <c r="H448" s="75"/>
      <c r="I448" s="75"/>
      <c r="J448" s="75"/>
      <c r="K448" s="75"/>
      <c r="L448" s="75"/>
      <c r="M448" s="75"/>
      <c r="N448" s="75"/>
      <c r="O448" s="75"/>
      <c r="P448" s="75"/>
      <c r="Q448" s="75"/>
      <c r="R448" s="75"/>
      <c r="S448" s="75"/>
      <c r="T448" s="75"/>
      <c r="U448" s="75"/>
      <c r="V448" s="77"/>
      <c r="W448" s="75"/>
      <c r="X448" s="75"/>
      <c r="Y448" s="75"/>
      <c r="Z448" s="78"/>
      <c r="AA448" s="78"/>
      <c r="AB448" s="75"/>
      <c r="AJ448" s="72"/>
    </row>
    <row r="449" spans="1:36" s="69" customFormat="1" x14ac:dyDescent="0.25">
      <c r="A449" s="75"/>
      <c r="B449" s="75"/>
      <c r="C449" s="76"/>
      <c r="D449" s="76"/>
      <c r="E449" s="75"/>
      <c r="F449" s="75"/>
      <c r="G449" s="75"/>
      <c r="H449" s="75"/>
      <c r="I449" s="75"/>
      <c r="J449" s="75"/>
      <c r="K449" s="75"/>
      <c r="L449" s="75"/>
      <c r="M449" s="75"/>
      <c r="N449" s="75"/>
      <c r="O449" s="75"/>
      <c r="P449" s="75"/>
      <c r="Q449" s="75"/>
      <c r="R449" s="75"/>
      <c r="S449" s="75"/>
      <c r="T449" s="75"/>
      <c r="U449" s="75"/>
      <c r="V449" s="77"/>
      <c r="W449" s="75"/>
      <c r="X449" s="75"/>
      <c r="Y449" s="75"/>
      <c r="Z449" s="78"/>
      <c r="AA449" s="78"/>
      <c r="AB449" s="75"/>
      <c r="AJ449" s="72"/>
    </row>
    <row r="450" spans="1:36" s="69" customFormat="1" x14ac:dyDescent="0.25">
      <c r="A450" s="75"/>
      <c r="B450" s="75"/>
      <c r="C450" s="76"/>
      <c r="D450" s="76"/>
      <c r="E450" s="75"/>
      <c r="F450" s="75"/>
      <c r="G450" s="75"/>
      <c r="H450" s="75"/>
      <c r="I450" s="75"/>
      <c r="J450" s="75"/>
      <c r="K450" s="75"/>
      <c r="L450" s="75"/>
      <c r="M450" s="75"/>
      <c r="N450" s="75"/>
      <c r="O450" s="75"/>
      <c r="P450" s="75"/>
      <c r="Q450" s="75"/>
      <c r="R450" s="75"/>
      <c r="S450" s="75"/>
      <c r="T450" s="75"/>
      <c r="U450" s="75"/>
      <c r="V450" s="77"/>
      <c r="W450" s="75"/>
      <c r="X450" s="75"/>
      <c r="Y450" s="75"/>
      <c r="Z450" s="78"/>
      <c r="AA450" s="78"/>
      <c r="AB450" s="75"/>
      <c r="AJ450" s="72"/>
    </row>
    <row r="451" spans="1:36" s="69" customFormat="1" x14ac:dyDescent="0.25">
      <c r="A451" s="75"/>
      <c r="B451" s="75"/>
      <c r="C451" s="76"/>
      <c r="D451" s="76"/>
      <c r="E451" s="75"/>
      <c r="F451" s="75"/>
      <c r="G451" s="75"/>
      <c r="H451" s="75"/>
      <c r="I451" s="75"/>
      <c r="J451" s="75"/>
      <c r="K451" s="75"/>
      <c r="L451" s="75"/>
      <c r="M451" s="75"/>
      <c r="N451" s="75"/>
      <c r="O451" s="75"/>
      <c r="P451" s="75"/>
      <c r="Q451" s="75"/>
      <c r="R451" s="75"/>
      <c r="S451" s="75"/>
      <c r="T451" s="75"/>
      <c r="U451" s="75"/>
      <c r="V451" s="77"/>
      <c r="W451" s="75"/>
      <c r="X451" s="75"/>
      <c r="Y451" s="75"/>
      <c r="Z451" s="78"/>
      <c r="AA451" s="78"/>
      <c r="AB451" s="75"/>
      <c r="AJ451" s="72"/>
    </row>
    <row r="452" spans="1:36" s="69" customFormat="1" x14ac:dyDescent="0.25">
      <c r="A452" s="75"/>
      <c r="B452" s="75"/>
      <c r="C452" s="76"/>
      <c r="D452" s="76"/>
      <c r="E452" s="75"/>
      <c r="F452" s="75"/>
      <c r="G452" s="75"/>
      <c r="H452" s="75"/>
      <c r="I452" s="75"/>
      <c r="J452" s="75"/>
      <c r="K452" s="75"/>
      <c r="L452" s="75"/>
      <c r="M452" s="75"/>
      <c r="N452" s="75"/>
      <c r="O452" s="75"/>
      <c r="P452" s="75"/>
      <c r="Q452" s="75"/>
      <c r="R452" s="75"/>
      <c r="S452" s="75"/>
      <c r="T452" s="75"/>
      <c r="U452" s="75"/>
      <c r="V452" s="77"/>
      <c r="W452" s="75"/>
      <c r="X452" s="75"/>
      <c r="Y452" s="75"/>
      <c r="Z452" s="78"/>
      <c r="AA452" s="78"/>
      <c r="AB452" s="75"/>
      <c r="AJ452" s="72"/>
    </row>
    <row r="453" spans="1:36" s="69" customFormat="1" x14ac:dyDescent="0.25">
      <c r="A453" s="75"/>
      <c r="B453" s="75"/>
      <c r="C453" s="76"/>
      <c r="D453" s="76"/>
      <c r="E453" s="75"/>
      <c r="F453" s="75"/>
      <c r="G453" s="75"/>
      <c r="H453" s="75"/>
      <c r="I453" s="75"/>
      <c r="J453" s="75"/>
      <c r="K453" s="75"/>
      <c r="L453" s="75"/>
      <c r="M453" s="75"/>
      <c r="N453" s="75"/>
      <c r="O453" s="75"/>
      <c r="P453" s="75"/>
      <c r="Q453" s="75"/>
      <c r="R453" s="75"/>
      <c r="S453" s="75"/>
      <c r="T453" s="75"/>
      <c r="U453" s="75"/>
      <c r="V453" s="77"/>
      <c r="W453" s="75"/>
      <c r="X453" s="75"/>
      <c r="Y453" s="75"/>
      <c r="Z453" s="78"/>
      <c r="AA453" s="78"/>
      <c r="AB453" s="75"/>
      <c r="AJ453" s="72"/>
    </row>
    <row r="454" spans="1:36" s="69" customFormat="1" x14ac:dyDescent="0.25">
      <c r="A454" s="75"/>
      <c r="B454" s="75"/>
      <c r="C454" s="76"/>
      <c r="D454" s="76"/>
      <c r="E454" s="75"/>
      <c r="F454" s="75"/>
      <c r="G454" s="75"/>
      <c r="H454" s="75"/>
      <c r="I454" s="75"/>
      <c r="J454" s="75"/>
      <c r="K454" s="75"/>
      <c r="L454" s="75"/>
      <c r="M454" s="75"/>
      <c r="N454" s="75"/>
      <c r="O454" s="75"/>
      <c r="P454" s="75"/>
      <c r="Q454" s="75"/>
      <c r="R454" s="75"/>
      <c r="S454" s="75"/>
      <c r="T454" s="75"/>
      <c r="U454" s="75"/>
      <c r="V454" s="77"/>
      <c r="W454" s="75"/>
      <c r="X454" s="75"/>
      <c r="Y454" s="75"/>
      <c r="Z454" s="78"/>
      <c r="AA454" s="78"/>
      <c r="AB454" s="75"/>
      <c r="AJ454" s="72"/>
    </row>
    <row r="455" spans="1:36" s="69" customFormat="1" x14ac:dyDescent="0.25">
      <c r="A455" s="75"/>
      <c r="B455" s="75"/>
      <c r="C455" s="76"/>
      <c r="D455" s="76"/>
      <c r="E455" s="75"/>
      <c r="F455" s="75"/>
      <c r="G455" s="75"/>
      <c r="H455" s="75"/>
      <c r="I455" s="75"/>
      <c r="J455" s="75"/>
      <c r="K455" s="75"/>
      <c r="L455" s="75"/>
      <c r="M455" s="75"/>
      <c r="N455" s="75"/>
      <c r="O455" s="75"/>
      <c r="P455" s="75"/>
      <c r="Q455" s="75"/>
      <c r="R455" s="75"/>
      <c r="S455" s="75"/>
      <c r="T455" s="75"/>
      <c r="U455" s="75"/>
      <c r="V455" s="77"/>
      <c r="W455" s="75"/>
      <c r="X455" s="75"/>
      <c r="Y455" s="75"/>
      <c r="Z455" s="78"/>
      <c r="AA455" s="78"/>
      <c r="AB455" s="75"/>
      <c r="AJ455" s="72"/>
    </row>
    <row r="456" spans="1:36" s="69" customFormat="1" x14ac:dyDescent="0.25">
      <c r="A456" s="75"/>
      <c r="B456" s="75"/>
      <c r="C456" s="76"/>
      <c r="D456" s="76"/>
      <c r="E456" s="75"/>
      <c r="F456" s="75"/>
      <c r="G456" s="75"/>
      <c r="H456" s="75"/>
      <c r="I456" s="75"/>
      <c r="J456" s="75"/>
      <c r="K456" s="75"/>
      <c r="L456" s="75"/>
      <c r="M456" s="75"/>
      <c r="N456" s="75"/>
      <c r="O456" s="75"/>
      <c r="P456" s="75"/>
      <c r="Q456" s="75"/>
      <c r="R456" s="75"/>
      <c r="S456" s="75"/>
      <c r="T456" s="75"/>
      <c r="U456" s="75"/>
      <c r="V456" s="77"/>
      <c r="W456" s="75"/>
      <c r="X456" s="75"/>
      <c r="Y456" s="75"/>
      <c r="Z456" s="78"/>
      <c r="AA456" s="78"/>
      <c r="AB456" s="75"/>
      <c r="AJ456" s="72"/>
    </row>
    <row r="457" spans="1:36" s="69" customFormat="1" x14ac:dyDescent="0.25">
      <c r="A457" s="75"/>
      <c r="B457" s="75"/>
      <c r="C457" s="76"/>
      <c r="D457" s="76"/>
      <c r="E457" s="75"/>
      <c r="F457" s="75"/>
      <c r="G457" s="75"/>
      <c r="H457" s="75"/>
      <c r="I457" s="75"/>
      <c r="J457" s="75"/>
      <c r="K457" s="75"/>
      <c r="L457" s="75"/>
      <c r="M457" s="75"/>
      <c r="N457" s="75"/>
      <c r="O457" s="75"/>
      <c r="P457" s="75"/>
      <c r="Q457" s="75"/>
      <c r="R457" s="75"/>
      <c r="S457" s="75"/>
      <c r="T457" s="75"/>
      <c r="U457" s="75"/>
      <c r="V457" s="77"/>
      <c r="W457" s="75"/>
      <c r="X457" s="75"/>
      <c r="Y457" s="75"/>
      <c r="Z457" s="78"/>
      <c r="AA457" s="78"/>
      <c r="AB457" s="75"/>
      <c r="AJ457" s="72"/>
    </row>
    <row r="458" spans="1:36" s="69" customFormat="1" x14ac:dyDescent="0.25">
      <c r="A458" s="75"/>
      <c r="B458" s="75"/>
      <c r="C458" s="76"/>
      <c r="D458" s="76"/>
      <c r="E458" s="75"/>
      <c r="F458" s="75"/>
      <c r="G458" s="75"/>
      <c r="H458" s="75"/>
      <c r="I458" s="75"/>
      <c r="J458" s="75"/>
      <c r="K458" s="75"/>
      <c r="L458" s="75"/>
      <c r="M458" s="75"/>
      <c r="N458" s="75"/>
      <c r="O458" s="75"/>
      <c r="P458" s="75"/>
      <c r="Q458" s="75"/>
      <c r="R458" s="75"/>
      <c r="S458" s="75"/>
      <c r="T458" s="75"/>
      <c r="U458" s="75"/>
      <c r="V458" s="77"/>
      <c r="W458" s="75"/>
      <c r="X458" s="75"/>
      <c r="Y458" s="75"/>
      <c r="Z458" s="78"/>
      <c r="AA458" s="78"/>
      <c r="AB458" s="75"/>
      <c r="AJ458" s="72"/>
    </row>
    <row r="459" spans="1:36" s="69" customFormat="1" x14ac:dyDescent="0.25">
      <c r="A459" s="75"/>
      <c r="B459" s="75"/>
      <c r="C459" s="76"/>
      <c r="D459" s="76"/>
      <c r="E459" s="75"/>
      <c r="F459" s="75"/>
      <c r="G459" s="75"/>
      <c r="H459" s="75"/>
      <c r="I459" s="75"/>
      <c r="J459" s="75"/>
      <c r="K459" s="75"/>
      <c r="L459" s="75"/>
      <c r="M459" s="75"/>
      <c r="N459" s="75"/>
      <c r="O459" s="75"/>
      <c r="P459" s="75"/>
      <c r="Q459" s="75"/>
      <c r="R459" s="75"/>
      <c r="S459" s="75"/>
      <c r="T459" s="75"/>
      <c r="U459" s="75"/>
      <c r="V459" s="77"/>
      <c r="W459" s="75"/>
      <c r="X459" s="75"/>
      <c r="Y459" s="75"/>
      <c r="Z459" s="78"/>
      <c r="AA459" s="78"/>
      <c r="AB459" s="75"/>
      <c r="AJ459" s="72"/>
    </row>
    <row r="460" spans="1:36" s="69" customFormat="1" x14ac:dyDescent="0.25">
      <c r="A460" s="75"/>
      <c r="B460" s="75"/>
      <c r="C460" s="76"/>
      <c r="D460" s="76"/>
      <c r="E460" s="75"/>
      <c r="F460" s="75"/>
      <c r="G460" s="75"/>
      <c r="H460" s="75"/>
      <c r="I460" s="75"/>
      <c r="J460" s="75"/>
      <c r="K460" s="75"/>
      <c r="L460" s="75"/>
      <c r="M460" s="75"/>
      <c r="N460" s="75"/>
      <c r="O460" s="75"/>
      <c r="P460" s="75"/>
      <c r="Q460" s="75"/>
      <c r="R460" s="75"/>
      <c r="S460" s="75"/>
      <c r="T460" s="75"/>
      <c r="U460" s="75"/>
      <c r="V460" s="77"/>
      <c r="W460" s="75"/>
      <c r="X460" s="75"/>
      <c r="Y460" s="75"/>
      <c r="Z460" s="78"/>
      <c r="AA460" s="78"/>
      <c r="AB460" s="75"/>
      <c r="AJ460" s="72"/>
    </row>
    <row r="461" spans="1:36" s="69" customFormat="1" x14ac:dyDescent="0.25">
      <c r="A461" s="75"/>
      <c r="B461" s="75"/>
      <c r="C461" s="76"/>
      <c r="D461" s="76"/>
      <c r="E461" s="75"/>
      <c r="F461" s="75"/>
      <c r="G461" s="75"/>
      <c r="H461" s="75"/>
      <c r="I461" s="75"/>
      <c r="J461" s="75"/>
      <c r="K461" s="75"/>
      <c r="L461" s="75"/>
      <c r="M461" s="75"/>
      <c r="N461" s="75"/>
      <c r="O461" s="75"/>
      <c r="P461" s="75"/>
      <c r="Q461" s="75"/>
      <c r="R461" s="75"/>
      <c r="S461" s="75"/>
      <c r="T461" s="75"/>
      <c r="U461" s="75"/>
      <c r="V461" s="77"/>
      <c r="W461" s="75"/>
      <c r="X461" s="75"/>
      <c r="Y461" s="75"/>
      <c r="Z461" s="78"/>
      <c r="AA461" s="78"/>
      <c r="AB461" s="75"/>
      <c r="AJ461" s="72"/>
    </row>
    <row r="462" spans="1:36" s="69" customFormat="1" x14ac:dyDescent="0.25">
      <c r="A462" s="75"/>
      <c r="B462" s="75"/>
      <c r="C462" s="76"/>
      <c r="D462" s="76"/>
      <c r="E462" s="75"/>
      <c r="F462" s="75"/>
      <c r="G462" s="75"/>
      <c r="H462" s="75"/>
      <c r="I462" s="75"/>
      <c r="J462" s="75"/>
      <c r="K462" s="75"/>
      <c r="L462" s="75"/>
      <c r="M462" s="75"/>
      <c r="N462" s="75"/>
      <c r="O462" s="75"/>
      <c r="P462" s="75"/>
      <c r="Q462" s="75"/>
      <c r="R462" s="75"/>
      <c r="S462" s="75"/>
      <c r="T462" s="75"/>
      <c r="U462" s="75"/>
      <c r="V462" s="77"/>
      <c r="W462" s="75"/>
      <c r="X462" s="75"/>
      <c r="Y462" s="75"/>
      <c r="Z462" s="78"/>
      <c r="AA462" s="78"/>
      <c r="AB462" s="75"/>
      <c r="AJ462" s="72"/>
    </row>
    <row r="463" spans="1:36" s="69" customFormat="1" x14ac:dyDescent="0.25">
      <c r="A463" s="75"/>
      <c r="B463" s="75"/>
      <c r="C463" s="76"/>
      <c r="D463" s="76"/>
      <c r="E463" s="75"/>
      <c r="F463" s="75"/>
      <c r="G463" s="75"/>
      <c r="H463" s="75"/>
      <c r="I463" s="75"/>
      <c r="J463" s="75"/>
      <c r="K463" s="75"/>
      <c r="L463" s="75"/>
      <c r="M463" s="75"/>
      <c r="N463" s="75"/>
      <c r="O463" s="75"/>
      <c r="P463" s="75"/>
      <c r="Q463" s="75"/>
      <c r="R463" s="75"/>
      <c r="S463" s="75"/>
      <c r="T463" s="75"/>
      <c r="U463" s="75"/>
      <c r="V463" s="77"/>
      <c r="W463" s="75"/>
      <c r="X463" s="75"/>
      <c r="Y463" s="75"/>
      <c r="Z463" s="78"/>
      <c r="AA463" s="78"/>
      <c r="AB463" s="75"/>
      <c r="AJ463" s="72"/>
    </row>
    <row r="464" spans="1:36" s="69" customFormat="1" x14ac:dyDescent="0.25">
      <c r="A464" s="75"/>
      <c r="B464" s="75"/>
      <c r="C464" s="76"/>
      <c r="D464" s="76"/>
      <c r="E464" s="75"/>
      <c r="F464" s="75"/>
      <c r="G464" s="75"/>
      <c r="H464" s="75"/>
      <c r="I464" s="75"/>
      <c r="J464" s="75"/>
      <c r="K464" s="75"/>
      <c r="L464" s="75"/>
      <c r="M464" s="75"/>
      <c r="N464" s="75"/>
      <c r="O464" s="75"/>
      <c r="P464" s="75"/>
      <c r="Q464" s="75"/>
      <c r="R464" s="75"/>
      <c r="S464" s="75"/>
      <c r="T464" s="75"/>
      <c r="U464" s="75"/>
      <c r="V464" s="77"/>
      <c r="W464" s="75"/>
      <c r="X464" s="75"/>
      <c r="Y464" s="75"/>
      <c r="Z464" s="78"/>
      <c r="AA464" s="78"/>
      <c r="AB464" s="75"/>
      <c r="AJ464" s="72"/>
    </row>
    <row r="465" spans="1:36" s="69" customFormat="1" x14ac:dyDescent="0.25">
      <c r="A465" s="75"/>
      <c r="B465" s="75"/>
      <c r="C465" s="76"/>
      <c r="D465" s="76"/>
      <c r="E465" s="75"/>
      <c r="F465" s="75"/>
      <c r="G465" s="75"/>
      <c r="H465" s="75"/>
      <c r="I465" s="75"/>
      <c r="J465" s="75"/>
      <c r="K465" s="75"/>
      <c r="L465" s="75"/>
      <c r="M465" s="75"/>
      <c r="N465" s="75"/>
      <c r="O465" s="75"/>
      <c r="P465" s="75"/>
      <c r="Q465" s="75"/>
      <c r="R465" s="75"/>
      <c r="S465" s="75"/>
      <c r="T465" s="75"/>
      <c r="U465" s="75"/>
      <c r="V465" s="77"/>
      <c r="W465" s="75"/>
      <c r="X465" s="75"/>
      <c r="Y465" s="75"/>
      <c r="Z465" s="78"/>
      <c r="AA465" s="78"/>
      <c r="AB465" s="75"/>
      <c r="AJ465" s="72"/>
    </row>
    <row r="466" spans="1:36" s="69" customFormat="1" x14ac:dyDescent="0.25">
      <c r="A466" s="75"/>
      <c r="B466" s="75"/>
      <c r="C466" s="76"/>
      <c r="D466" s="76"/>
      <c r="E466" s="75"/>
      <c r="F466" s="75"/>
      <c r="G466" s="75"/>
      <c r="H466" s="75"/>
      <c r="I466" s="75"/>
      <c r="J466" s="75"/>
      <c r="K466" s="75"/>
      <c r="L466" s="75"/>
      <c r="M466" s="75"/>
      <c r="N466" s="75"/>
      <c r="O466" s="75"/>
      <c r="P466" s="75"/>
      <c r="Q466" s="75"/>
      <c r="R466" s="75"/>
      <c r="S466" s="75"/>
      <c r="T466" s="75"/>
      <c r="U466" s="75"/>
      <c r="V466" s="77"/>
      <c r="W466" s="75"/>
      <c r="X466" s="75"/>
      <c r="Y466" s="75"/>
      <c r="Z466" s="78"/>
      <c r="AA466" s="78"/>
      <c r="AB466" s="75"/>
      <c r="AJ466" s="72"/>
    </row>
    <row r="467" spans="1:36" s="69" customFormat="1" x14ac:dyDescent="0.25">
      <c r="A467" s="75"/>
      <c r="B467" s="75"/>
      <c r="C467" s="76"/>
      <c r="D467" s="76"/>
      <c r="E467" s="75"/>
      <c r="F467" s="75"/>
      <c r="G467" s="75"/>
      <c r="H467" s="75"/>
      <c r="I467" s="75"/>
      <c r="J467" s="75"/>
      <c r="K467" s="75"/>
      <c r="L467" s="75"/>
      <c r="M467" s="75"/>
      <c r="N467" s="75"/>
      <c r="O467" s="75"/>
      <c r="P467" s="75"/>
      <c r="Q467" s="75"/>
      <c r="R467" s="75"/>
      <c r="S467" s="75"/>
      <c r="T467" s="75"/>
      <c r="U467" s="75"/>
      <c r="V467" s="77"/>
      <c r="W467" s="75"/>
      <c r="X467" s="75"/>
      <c r="Y467" s="75"/>
      <c r="Z467" s="78"/>
      <c r="AA467" s="78"/>
      <c r="AB467" s="75"/>
      <c r="AJ467" s="72"/>
    </row>
    <row r="468" spans="1:36" s="69" customFormat="1" x14ac:dyDescent="0.25">
      <c r="A468" s="75"/>
      <c r="B468" s="75"/>
      <c r="C468" s="76"/>
      <c r="D468" s="76"/>
      <c r="E468" s="75"/>
      <c r="F468" s="75"/>
      <c r="G468" s="75"/>
      <c r="H468" s="75"/>
      <c r="I468" s="75"/>
      <c r="J468" s="75"/>
      <c r="K468" s="75"/>
      <c r="L468" s="75"/>
      <c r="M468" s="75"/>
      <c r="N468" s="75"/>
      <c r="O468" s="75"/>
      <c r="P468" s="75"/>
      <c r="Q468" s="75"/>
      <c r="R468" s="75"/>
      <c r="S468" s="75"/>
      <c r="T468" s="75"/>
      <c r="U468" s="75"/>
      <c r="V468" s="77"/>
      <c r="W468" s="75"/>
      <c r="X468" s="75"/>
      <c r="Y468" s="75"/>
      <c r="Z468" s="78"/>
      <c r="AA468" s="78"/>
      <c r="AB468" s="75"/>
      <c r="AJ468" s="72"/>
    </row>
    <row r="469" spans="1:36" s="69" customFormat="1" x14ac:dyDescent="0.25">
      <c r="A469" s="75"/>
      <c r="B469" s="75"/>
      <c r="C469" s="76"/>
      <c r="D469" s="76"/>
      <c r="E469" s="75"/>
      <c r="F469" s="75"/>
      <c r="G469" s="75"/>
      <c r="H469" s="75"/>
      <c r="I469" s="75"/>
      <c r="J469" s="75"/>
      <c r="K469" s="75"/>
      <c r="L469" s="75"/>
      <c r="M469" s="75"/>
      <c r="N469" s="75"/>
      <c r="O469" s="75"/>
      <c r="P469" s="75"/>
      <c r="Q469" s="75"/>
      <c r="R469" s="75"/>
      <c r="S469" s="75"/>
      <c r="T469" s="75"/>
      <c r="U469" s="75"/>
      <c r="V469" s="77"/>
      <c r="W469" s="75"/>
      <c r="X469" s="75"/>
      <c r="Y469" s="75"/>
      <c r="Z469" s="78"/>
      <c r="AA469" s="78"/>
      <c r="AB469" s="75"/>
      <c r="AJ469" s="72"/>
    </row>
    <row r="470" spans="1:36" s="69" customFormat="1" x14ac:dyDescent="0.25">
      <c r="A470" s="75"/>
      <c r="B470" s="75"/>
      <c r="C470" s="76"/>
      <c r="D470" s="76"/>
      <c r="E470" s="75"/>
      <c r="F470" s="75"/>
      <c r="G470" s="75"/>
      <c r="H470" s="75"/>
      <c r="I470" s="75"/>
      <c r="J470" s="75"/>
      <c r="K470" s="75"/>
      <c r="L470" s="75"/>
      <c r="M470" s="75"/>
      <c r="N470" s="75"/>
      <c r="O470" s="75"/>
      <c r="P470" s="75"/>
      <c r="Q470" s="75"/>
      <c r="R470" s="75"/>
      <c r="S470" s="75"/>
      <c r="T470" s="75"/>
      <c r="U470" s="75"/>
      <c r="V470" s="77"/>
      <c r="W470" s="75"/>
      <c r="X470" s="75"/>
      <c r="Y470" s="75"/>
      <c r="Z470" s="78"/>
      <c r="AA470" s="78"/>
      <c r="AB470" s="75"/>
      <c r="AJ470" s="72"/>
    </row>
    <row r="471" spans="1:36" s="69" customFormat="1" x14ac:dyDescent="0.25">
      <c r="A471" s="75"/>
      <c r="B471" s="75"/>
      <c r="C471" s="76"/>
      <c r="D471" s="76"/>
      <c r="E471" s="75"/>
      <c r="F471" s="75"/>
      <c r="G471" s="75"/>
      <c r="H471" s="75"/>
      <c r="I471" s="75"/>
      <c r="J471" s="75"/>
      <c r="K471" s="75"/>
      <c r="L471" s="75"/>
      <c r="M471" s="75"/>
      <c r="N471" s="75"/>
      <c r="O471" s="75"/>
      <c r="P471" s="75"/>
      <c r="Q471" s="75"/>
      <c r="R471" s="75"/>
      <c r="S471" s="75"/>
      <c r="T471" s="75"/>
      <c r="U471" s="75"/>
      <c r="V471" s="77"/>
      <c r="W471" s="75"/>
      <c r="X471" s="75"/>
      <c r="Y471" s="75"/>
      <c r="Z471" s="78"/>
      <c r="AA471" s="78"/>
      <c r="AB471" s="75"/>
      <c r="AJ471" s="72"/>
    </row>
    <row r="472" spans="1:36" s="69" customFormat="1" x14ac:dyDescent="0.25">
      <c r="A472" s="75"/>
      <c r="B472" s="75"/>
      <c r="C472" s="76"/>
      <c r="D472" s="76"/>
      <c r="E472" s="75"/>
      <c r="F472" s="75"/>
      <c r="G472" s="75"/>
      <c r="H472" s="75"/>
      <c r="I472" s="75"/>
      <c r="J472" s="75"/>
      <c r="K472" s="75"/>
      <c r="L472" s="75"/>
      <c r="M472" s="75"/>
      <c r="N472" s="75"/>
      <c r="O472" s="75"/>
      <c r="P472" s="75"/>
      <c r="Q472" s="75"/>
      <c r="R472" s="75"/>
      <c r="S472" s="75"/>
      <c r="T472" s="75"/>
      <c r="U472" s="75"/>
      <c r="V472" s="77"/>
      <c r="W472" s="75"/>
      <c r="X472" s="75"/>
      <c r="Y472" s="75"/>
      <c r="Z472" s="78"/>
      <c r="AA472" s="78"/>
      <c r="AB472" s="75"/>
      <c r="AJ472" s="72"/>
    </row>
    <row r="473" spans="1:36" s="69" customFormat="1" x14ac:dyDescent="0.25">
      <c r="A473" s="75"/>
      <c r="B473" s="75"/>
      <c r="C473" s="76"/>
      <c r="D473" s="76"/>
      <c r="E473" s="75"/>
      <c r="F473" s="75"/>
      <c r="G473" s="75"/>
      <c r="H473" s="75"/>
      <c r="I473" s="75"/>
      <c r="J473" s="75"/>
      <c r="K473" s="75"/>
      <c r="L473" s="75"/>
      <c r="M473" s="75"/>
      <c r="N473" s="75"/>
      <c r="O473" s="75"/>
      <c r="P473" s="75"/>
      <c r="Q473" s="75"/>
      <c r="R473" s="75"/>
      <c r="S473" s="75"/>
      <c r="T473" s="75"/>
      <c r="U473" s="75"/>
      <c r="V473" s="77"/>
      <c r="W473" s="75"/>
      <c r="X473" s="75"/>
      <c r="Y473" s="75"/>
      <c r="Z473" s="78"/>
      <c r="AA473" s="78"/>
      <c r="AB473" s="75"/>
      <c r="AJ473" s="72"/>
    </row>
    <row r="474" spans="1:36" s="69" customFormat="1" x14ac:dyDescent="0.25">
      <c r="A474" s="75"/>
      <c r="B474" s="75"/>
      <c r="C474" s="76"/>
      <c r="D474" s="76"/>
      <c r="E474" s="75"/>
      <c r="F474" s="75"/>
      <c r="G474" s="75"/>
      <c r="H474" s="75"/>
      <c r="I474" s="75"/>
      <c r="J474" s="75"/>
      <c r="K474" s="75"/>
      <c r="L474" s="75"/>
      <c r="M474" s="75"/>
      <c r="N474" s="75"/>
      <c r="O474" s="75"/>
      <c r="P474" s="75"/>
      <c r="Q474" s="75"/>
      <c r="R474" s="75"/>
      <c r="S474" s="75"/>
      <c r="T474" s="75"/>
      <c r="U474" s="75"/>
      <c r="V474" s="77"/>
      <c r="W474" s="75"/>
      <c r="X474" s="75"/>
      <c r="Y474" s="75"/>
      <c r="Z474" s="78"/>
      <c r="AA474" s="78"/>
      <c r="AB474" s="75"/>
      <c r="AJ474" s="72"/>
    </row>
    <row r="475" spans="1:36" s="69" customFormat="1" x14ac:dyDescent="0.25">
      <c r="A475" s="75"/>
      <c r="B475" s="75"/>
      <c r="C475" s="76"/>
      <c r="D475" s="76"/>
      <c r="E475" s="75"/>
      <c r="F475" s="75"/>
      <c r="G475" s="75"/>
      <c r="H475" s="75"/>
      <c r="I475" s="75"/>
      <c r="J475" s="75"/>
      <c r="K475" s="75"/>
      <c r="L475" s="75"/>
      <c r="M475" s="75"/>
      <c r="N475" s="75"/>
      <c r="O475" s="75"/>
      <c r="P475" s="75"/>
      <c r="Q475" s="75"/>
      <c r="R475" s="75"/>
      <c r="S475" s="75"/>
      <c r="T475" s="75"/>
      <c r="U475" s="75"/>
      <c r="V475" s="77"/>
      <c r="W475" s="75"/>
      <c r="X475" s="75"/>
      <c r="Y475" s="75"/>
      <c r="Z475" s="78"/>
      <c r="AA475" s="78"/>
      <c r="AB475" s="75"/>
      <c r="AJ475" s="72"/>
    </row>
    <row r="476" spans="1:36" s="69" customFormat="1" x14ac:dyDescent="0.25">
      <c r="A476" s="75"/>
      <c r="B476" s="75"/>
      <c r="C476" s="76"/>
      <c r="D476" s="76"/>
      <c r="E476" s="75"/>
      <c r="F476" s="75"/>
      <c r="G476" s="75"/>
      <c r="H476" s="75"/>
      <c r="I476" s="75"/>
      <c r="J476" s="75"/>
      <c r="K476" s="75"/>
      <c r="L476" s="75"/>
      <c r="M476" s="75"/>
      <c r="N476" s="75"/>
      <c r="O476" s="75"/>
      <c r="P476" s="75"/>
      <c r="Q476" s="75"/>
      <c r="R476" s="75"/>
      <c r="S476" s="75"/>
      <c r="T476" s="75"/>
      <c r="U476" s="75"/>
      <c r="V476" s="77"/>
      <c r="W476" s="75"/>
      <c r="X476" s="75"/>
      <c r="Y476" s="75"/>
      <c r="Z476" s="78"/>
      <c r="AA476" s="78"/>
      <c r="AB476" s="75"/>
      <c r="AJ476" s="72"/>
    </row>
    <row r="477" spans="1:36" s="69" customFormat="1" x14ac:dyDescent="0.25">
      <c r="A477" s="75"/>
      <c r="B477" s="75"/>
      <c r="C477" s="76"/>
      <c r="D477" s="76"/>
      <c r="E477" s="75"/>
      <c r="F477" s="75"/>
      <c r="G477" s="75"/>
      <c r="H477" s="75"/>
      <c r="I477" s="75"/>
      <c r="J477" s="75"/>
      <c r="K477" s="75"/>
      <c r="L477" s="75"/>
      <c r="M477" s="75"/>
      <c r="N477" s="75"/>
      <c r="O477" s="75"/>
      <c r="P477" s="75"/>
      <c r="Q477" s="75"/>
      <c r="R477" s="75"/>
      <c r="S477" s="75"/>
      <c r="T477" s="75"/>
      <c r="U477" s="75"/>
      <c r="V477" s="77"/>
      <c r="W477" s="75"/>
      <c r="X477" s="75"/>
      <c r="Y477" s="75"/>
      <c r="Z477" s="78"/>
      <c r="AA477" s="78"/>
      <c r="AB477" s="75"/>
      <c r="AJ477" s="72"/>
    </row>
    <row r="478" spans="1:36" s="69" customFormat="1" x14ac:dyDescent="0.25">
      <c r="A478" s="75"/>
      <c r="B478" s="75"/>
      <c r="C478" s="76"/>
      <c r="D478" s="76"/>
      <c r="E478" s="75"/>
      <c r="F478" s="75"/>
      <c r="G478" s="75"/>
      <c r="H478" s="75"/>
      <c r="I478" s="75"/>
      <c r="J478" s="75"/>
      <c r="K478" s="75"/>
      <c r="L478" s="75"/>
      <c r="M478" s="75"/>
      <c r="N478" s="75"/>
      <c r="O478" s="75"/>
      <c r="P478" s="75"/>
      <c r="Q478" s="75"/>
      <c r="R478" s="75"/>
      <c r="S478" s="75"/>
      <c r="T478" s="75"/>
      <c r="U478" s="75"/>
      <c r="V478" s="77"/>
      <c r="W478" s="75"/>
      <c r="X478" s="75"/>
      <c r="Y478" s="75"/>
      <c r="Z478" s="78"/>
      <c r="AA478" s="78"/>
      <c r="AB478" s="75"/>
      <c r="AJ478" s="72"/>
    </row>
    <row r="479" spans="1:36" s="69" customFormat="1" x14ac:dyDescent="0.25">
      <c r="A479" s="75"/>
      <c r="B479" s="75"/>
      <c r="C479" s="76"/>
      <c r="D479" s="76"/>
      <c r="E479" s="75"/>
      <c r="F479" s="75"/>
      <c r="G479" s="75"/>
      <c r="H479" s="75"/>
      <c r="I479" s="75"/>
      <c r="J479" s="75"/>
      <c r="K479" s="75"/>
      <c r="L479" s="75"/>
      <c r="M479" s="75"/>
      <c r="N479" s="75"/>
      <c r="O479" s="75"/>
      <c r="P479" s="75"/>
      <c r="Q479" s="75"/>
      <c r="R479" s="75"/>
      <c r="S479" s="75"/>
      <c r="T479" s="75"/>
      <c r="U479" s="75"/>
      <c r="V479" s="77"/>
      <c r="W479" s="75"/>
      <c r="X479" s="75"/>
      <c r="Y479" s="75"/>
      <c r="Z479" s="78"/>
      <c r="AA479" s="78"/>
      <c r="AB479" s="75"/>
      <c r="AJ479" s="72"/>
    </row>
    <row r="480" spans="1:36" s="69" customFormat="1" x14ac:dyDescent="0.25">
      <c r="A480" s="75"/>
      <c r="B480" s="75"/>
      <c r="C480" s="76"/>
      <c r="D480" s="76"/>
      <c r="E480" s="75"/>
      <c r="F480" s="75"/>
      <c r="G480" s="75"/>
      <c r="H480" s="75"/>
      <c r="I480" s="75"/>
      <c r="J480" s="75"/>
      <c r="K480" s="75"/>
      <c r="L480" s="75"/>
      <c r="M480" s="75"/>
      <c r="N480" s="75"/>
      <c r="O480" s="75"/>
      <c r="P480" s="75"/>
      <c r="Q480" s="75"/>
      <c r="R480" s="75"/>
      <c r="S480" s="75"/>
      <c r="T480" s="75"/>
      <c r="U480" s="75"/>
      <c r="V480" s="77"/>
      <c r="W480" s="75"/>
      <c r="X480" s="75"/>
      <c r="Y480" s="75"/>
      <c r="Z480" s="78"/>
      <c r="AA480" s="78"/>
      <c r="AB480" s="75"/>
      <c r="AJ480" s="72"/>
    </row>
    <row r="481" spans="1:36" s="69" customFormat="1" x14ac:dyDescent="0.25">
      <c r="A481" s="75"/>
      <c r="B481" s="75"/>
      <c r="C481" s="76"/>
      <c r="D481" s="76"/>
      <c r="E481" s="75"/>
      <c r="F481" s="75"/>
      <c r="G481" s="75"/>
      <c r="H481" s="75"/>
      <c r="I481" s="75"/>
      <c r="J481" s="75"/>
      <c r="K481" s="75"/>
      <c r="L481" s="75"/>
      <c r="M481" s="75"/>
      <c r="N481" s="75"/>
      <c r="O481" s="75"/>
      <c r="P481" s="75"/>
      <c r="Q481" s="75"/>
      <c r="R481" s="75"/>
      <c r="S481" s="75"/>
      <c r="T481" s="75"/>
      <c r="U481" s="75"/>
      <c r="V481" s="77"/>
      <c r="W481" s="75"/>
      <c r="X481" s="75"/>
      <c r="Y481" s="75"/>
      <c r="Z481" s="78"/>
      <c r="AA481" s="78"/>
      <c r="AB481" s="75"/>
      <c r="AJ481" s="72"/>
    </row>
    <row r="482" spans="1:36" s="69" customFormat="1" x14ac:dyDescent="0.25">
      <c r="A482" s="75"/>
      <c r="B482" s="75"/>
      <c r="C482" s="76"/>
      <c r="D482" s="76"/>
      <c r="E482" s="75"/>
      <c r="F482" s="75"/>
      <c r="G482" s="75"/>
      <c r="H482" s="75"/>
      <c r="I482" s="75"/>
      <c r="J482" s="75"/>
      <c r="K482" s="75"/>
      <c r="L482" s="75"/>
      <c r="M482" s="75"/>
      <c r="N482" s="75"/>
      <c r="O482" s="75"/>
      <c r="P482" s="75"/>
      <c r="Q482" s="75"/>
      <c r="R482" s="75"/>
      <c r="S482" s="75"/>
      <c r="T482" s="75"/>
      <c r="U482" s="75"/>
      <c r="V482" s="77"/>
      <c r="W482" s="75"/>
      <c r="X482" s="75"/>
      <c r="Y482" s="75"/>
      <c r="Z482" s="78"/>
      <c r="AA482" s="78"/>
      <c r="AB482" s="75"/>
      <c r="AJ482" s="72"/>
    </row>
    <row r="483" spans="1:36" s="69" customFormat="1" x14ac:dyDescent="0.25">
      <c r="A483" s="75"/>
      <c r="B483" s="75"/>
      <c r="C483" s="76"/>
      <c r="D483" s="76"/>
      <c r="E483" s="75"/>
      <c r="F483" s="75"/>
      <c r="G483" s="75"/>
      <c r="H483" s="75"/>
      <c r="I483" s="75"/>
      <c r="J483" s="75"/>
      <c r="K483" s="75"/>
      <c r="L483" s="75"/>
      <c r="M483" s="75"/>
      <c r="N483" s="75"/>
      <c r="O483" s="75"/>
      <c r="P483" s="75"/>
      <c r="Q483" s="75"/>
      <c r="R483" s="75"/>
      <c r="S483" s="75"/>
      <c r="T483" s="75"/>
      <c r="U483" s="75"/>
      <c r="V483" s="77"/>
      <c r="W483" s="75"/>
      <c r="X483" s="75"/>
      <c r="Y483" s="75"/>
      <c r="Z483" s="78"/>
      <c r="AA483" s="78"/>
      <c r="AB483" s="75"/>
      <c r="AJ483" s="72"/>
    </row>
    <row r="484" spans="1:36" s="69" customFormat="1" x14ac:dyDescent="0.25">
      <c r="A484" s="75"/>
      <c r="B484" s="75"/>
      <c r="C484" s="76"/>
      <c r="D484" s="76"/>
      <c r="E484" s="75"/>
      <c r="F484" s="75"/>
      <c r="G484" s="75"/>
      <c r="H484" s="75"/>
      <c r="I484" s="75"/>
      <c r="J484" s="75"/>
      <c r="K484" s="75"/>
      <c r="L484" s="75"/>
      <c r="M484" s="75"/>
      <c r="N484" s="75"/>
      <c r="O484" s="75"/>
      <c r="P484" s="75"/>
      <c r="Q484" s="75"/>
      <c r="R484" s="75"/>
      <c r="S484" s="75"/>
      <c r="T484" s="75"/>
      <c r="U484" s="75"/>
      <c r="V484" s="77"/>
      <c r="W484" s="75"/>
      <c r="X484" s="75"/>
      <c r="Y484" s="75"/>
      <c r="Z484" s="78"/>
      <c r="AA484" s="78"/>
      <c r="AB484" s="75"/>
      <c r="AJ484" s="72"/>
    </row>
    <row r="485" spans="1:36" s="69" customFormat="1" x14ac:dyDescent="0.25">
      <c r="A485" s="75"/>
      <c r="B485" s="75"/>
      <c r="C485" s="76"/>
      <c r="D485" s="76"/>
      <c r="E485" s="75"/>
      <c r="F485" s="75"/>
      <c r="G485" s="75"/>
      <c r="H485" s="75"/>
      <c r="I485" s="75"/>
      <c r="J485" s="75"/>
      <c r="K485" s="75"/>
      <c r="L485" s="75"/>
      <c r="M485" s="75"/>
      <c r="N485" s="75"/>
      <c r="O485" s="75"/>
      <c r="P485" s="75"/>
      <c r="Q485" s="75"/>
      <c r="R485" s="75"/>
      <c r="S485" s="75"/>
      <c r="T485" s="75"/>
      <c r="U485" s="75"/>
      <c r="V485" s="77"/>
      <c r="W485" s="75"/>
      <c r="X485" s="75"/>
      <c r="Y485" s="75"/>
      <c r="Z485" s="78"/>
      <c r="AA485" s="78"/>
      <c r="AB485" s="75"/>
      <c r="AJ485" s="72"/>
    </row>
    <row r="486" spans="1:36" s="69" customFormat="1" x14ac:dyDescent="0.25">
      <c r="A486" s="75"/>
      <c r="B486" s="75"/>
      <c r="C486" s="76"/>
      <c r="D486" s="76"/>
      <c r="E486" s="75"/>
      <c r="F486" s="75"/>
      <c r="G486" s="75"/>
      <c r="H486" s="75"/>
      <c r="I486" s="75"/>
      <c r="J486" s="75"/>
      <c r="K486" s="75"/>
      <c r="L486" s="75"/>
      <c r="M486" s="75"/>
      <c r="N486" s="75"/>
      <c r="O486" s="75"/>
      <c r="P486" s="75"/>
      <c r="Q486" s="75"/>
      <c r="R486" s="75"/>
      <c r="S486" s="75"/>
      <c r="T486" s="75"/>
      <c r="U486" s="75"/>
      <c r="V486" s="77"/>
      <c r="W486" s="75"/>
      <c r="X486" s="75"/>
      <c r="Y486" s="75"/>
      <c r="Z486" s="78"/>
      <c r="AA486" s="78"/>
      <c r="AB486" s="75"/>
      <c r="AJ486" s="72"/>
    </row>
    <row r="487" spans="1:36" s="69" customFormat="1" x14ac:dyDescent="0.25">
      <c r="A487" s="75"/>
      <c r="B487" s="75"/>
      <c r="C487" s="76"/>
      <c r="D487" s="76"/>
      <c r="E487" s="75"/>
      <c r="F487" s="75"/>
      <c r="G487" s="75"/>
      <c r="H487" s="75"/>
      <c r="I487" s="75"/>
      <c r="J487" s="75"/>
      <c r="K487" s="75"/>
      <c r="L487" s="75"/>
      <c r="M487" s="75"/>
      <c r="N487" s="75"/>
      <c r="O487" s="75"/>
      <c r="P487" s="75"/>
      <c r="Q487" s="75"/>
      <c r="R487" s="75"/>
      <c r="S487" s="75"/>
      <c r="T487" s="75"/>
      <c r="U487" s="75"/>
      <c r="V487" s="77"/>
      <c r="W487" s="75"/>
      <c r="X487" s="75"/>
      <c r="Y487" s="75"/>
      <c r="Z487" s="78"/>
      <c r="AA487" s="78"/>
      <c r="AB487" s="75"/>
      <c r="AJ487" s="72"/>
    </row>
    <row r="488" spans="1:36" s="69" customFormat="1" x14ac:dyDescent="0.25">
      <c r="A488" s="75"/>
      <c r="B488" s="75"/>
      <c r="C488" s="76"/>
      <c r="D488" s="76"/>
      <c r="E488" s="75"/>
      <c r="F488" s="75"/>
      <c r="G488" s="75"/>
      <c r="H488" s="75"/>
      <c r="I488" s="75"/>
      <c r="J488" s="75"/>
      <c r="K488" s="75"/>
      <c r="L488" s="75"/>
      <c r="M488" s="75"/>
      <c r="N488" s="75"/>
      <c r="O488" s="75"/>
      <c r="P488" s="75"/>
      <c r="Q488" s="75"/>
      <c r="R488" s="75"/>
      <c r="S488" s="75"/>
      <c r="T488" s="75"/>
      <c r="U488" s="75"/>
      <c r="V488" s="77"/>
      <c r="W488" s="75"/>
      <c r="X488" s="75"/>
      <c r="Y488" s="75"/>
      <c r="Z488" s="78"/>
      <c r="AA488" s="78"/>
      <c r="AB488" s="75"/>
      <c r="AJ488" s="72"/>
    </row>
    <row r="489" spans="1:36" s="69" customFormat="1" x14ac:dyDescent="0.25">
      <c r="A489" s="75"/>
      <c r="B489" s="75"/>
      <c r="C489" s="76"/>
      <c r="D489" s="76"/>
      <c r="E489" s="75"/>
      <c r="F489" s="75"/>
      <c r="G489" s="75"/>
      <c r="H489" s="75"/>
      <c r="I489" s="75"/>
      <c r="J489" s="75"/>
      <c r="K489" s="75"/>
      <c r="L489" s="75"/>
      <c r="M489" s="75"/>
      <c r="N489" s="75"/>
      <c r="O489" s="75"/>
      <c r="P489" s="75"/>
      <c r="Q489" s="75"/>
      <c r="R489" s="75"/>
      <c r="S489" s="75"/>
      <c r="T489" s="75"/>
      <c r="U489" s="75"/>
      <c r="V489" s="77"/>
      <c r="W489" s="75"/>
      <c r="X489" s="75"/>
      <c r="Y489" s="75"/>
      <c r="Z489" s="78"/>
      <c r="AA489" s="78"/>
      <c r="AB489" s="75"/>
      <c r="AJ489" s="72"/>
    </row>
    <row r="490" spans="1:36" s="69" customFormat="1" x14ac:dyDescent="0.25">
      <c r="A490" s="75"/>
      <c r="B490" s="75"/>
      <c r="C490" s="76"/>
      <c r="D490" s="76"/>
      <c r="E490" s="75"/>
      <c r="F490" s="75"/>
      <c r="G490" s="75"/>
      <c r="H490" s="75"/>
      <c r="I490" s="75"/>
      <c r="J490" s="75"/>
      <c r="K490" s="75"/>
      <c r="L490" s="75"/>
      <c r="M490" s="75"/>
      <c r="N490" s="75"/>
      <c r="O490" s="75"/>
      <c r="P490" s="75"/>
      <c r="Q490" s="75"/>
      <c r="R490" s="75"/>
      <c r="S490" s="75"/>
      <c r="T490" s="75"/>
      <c r="U490" s="75"/>
      <c r="V490" s="77"/>
      <c r="W490" s="75"/>
      <c r="X490" s="75"/>
      <c r="Y490" s="75"/>
      <c r="Z490" s="78"/>
      <c r="AA490" s="78"/>
      <c r="AB490" s="75"/>
      <c r="AJ490" s="72"/>
    </row>
    <row r="491" spans="1:36" s="69" customFormat="1" x14ac:dyDescent="0.25">
      <c r="A491" s="75"/>
      <c r="B491" s="75"/>
      <c r="C491" s="76"/>
      <c r="D491" s="76"/>
      <c r="E491" s="75"/>
      <c r="F491" s="75"/>
      <c r="G491" s="75"/>
      <c r="H491" s="75"/>
      <c r="I491" s="75"/>
      <c r="J491" s="75"/>
      <c r="K491" s="75"/>
      <c r="L491" s="75"/>
      <c r="M491" s="75"/>
      <c r="N491" s="75"/>
      <c r="O491" s="75"/>
      <c r="P491" s="75"/>
      <c r="Q491" s="75"/>
      <c r="R491" s="75"/>
      <c r="S491" s="75"/>
      <c r="T491" s="75"/>
      <c r="U491" s="75"/>
      <c r="V491" s="77"/>
      <c r="W491" s="75"/>
      <c r="X491" s="75"/>
      <c r="Y491" s="75"/>
      <c r="Z491" s="78"/>
      <c r="AA491" s="78"/>
      <c r="AB491" s="75"/>
      <c r="AJ491" s="72"/>
    </row>
    <row r="492" spans="1:36" s="69" customFormat="1" x14ac:dyDescent="0.25">
      <c r="A492" s="75"/>
      <c r="B492" s="75"/>
      <c r="C492" s="76"/>
      <c r="D492" s="76"/>
      <c r="E492" s="75"/>
      <c r="F492" s="75"/>
      <c r="G492" s="75"/>
      <c r="H492" s="75"/>
      <c r="I492" s="75"/>
      <c r="J492" s="75"/>
      <c r="K492" s="75"/>
      <c r="L492" s="75"/>
      <c r="M492" s="75"/>
      <c r="N492" s="75"/>
      <c r="O492" s="75"/>
      <c r="P492" s="75"/>
      <c r="Q492" s="75"/>
      <c r="R492" s="75"/>
      <c r="S492" s="75"/>
      <c r="T492" s="75"/>
      <c r="U492" s="75"/>
      <c r="V492" s="77"/>
      <c r="W492" s="75"/>
      <c r="X492" s="75"/>
      <c r="Y492" s="75"/>
      <c r="Z492" s="78"/>
      <c r="AA492" s="78"/>
      <c r="AB492" s="75"/>
      <c r="AJ492" s="72"/>
    </row>
    <row r="493" spans="1:36" s="69" customFormat="1" x14ac:dyDescent="0.25">
      <c r="A493" s="75"/>
      <c r="B493" s="75"/>
      <c r="C493" s="76"/>
      <c r="D493" s="76"/>
      <c r="E493" s="75"/>
      <c r="F493" s="75"/>
      <c r="G493" s="75"/>
      <c r="H493" s="75"/>
      <c r="I493" s="75"/>
      <c r="J493" s="75"/>
      <c r="K493" s="75"/>
      <c r="L493" s="75"/>
      <c r="M493" s="75"/>
      <c r="N493" s="75"/>
      <c r="O493" s="75"/>
      <c r="P493" s="75"/>
      <c r="Q493" s="75"/>
      <c r="R493" s="75"/>
      <c r="S493" s="75"/>
      <c r="T493" s="75"/>
      <c r="U493" s="75"/>
      <c r="V493" s="77"/>
      <c r="W493" s="75"/>
      <c r="X493" s="75"/>
      <c r="Y493" s="75"/>
      <c r="Z493" s="78"/>
      <c r="AA493" s="78"/>
      <c r="AB493" s="75"/>
      <c r="AJ493" s="72"/>
    </row>
    <row r="494" spans="1:36" s="69" customFormat="1" x14ac:dyDescent="0.25">
      <c r="A494" s="75"/>
      <c r="B494" s="75"/>
      <c r="C494" s="76"/>
      <c r="D494" s="76"/>
      <c r="E494" s="75"/>
      <c r="F494" s="75"/>
      <c r="G494" s="75"/>
      <c r="H494" s="75"/>
      <c r="I494" s="75"/>
      <c r="J494" s="75"/>
      <c r="K494" s="75"/>
      <c r="L494" s="75"/>
      <c r="M494" s="75"/>
      <c r="N494" s="75"/>
      <c r="O494" s="75"/>
      <c r="P494" s="75"/>
      <c r="Q494" s="75"/>
      <c r="R494" s="75"/>
      <c r="S494" s="75"/>
      <c r="T494" s="75"/>
      <c r="U494" s="75"/>
      <c r="V494" s="77"/>
      <c r="W494" s="75"/>
      <c r="X494" s="75"/>
      <c r="Y494" s="75"/>
      <c r="Z494" s="78"/>
      <c r="AA494" s="78"/>
      <c r="AB494" s="75"/>
      <c r="AJ494" s="72"/>
    </row>
    <row r="495" spans="1:36" s="69" customFormat="1" x14ac:dyDescent="0.25">
      <c r="A495" s="75"/>
      <c r="B495" s="75"/>
      <c r="C495" s="76"/>
      <c r="D495" s="76"/>
      <c r="E495" s="75"/>
      <c r="F495" s="75"/>
      <c r="G495" s="75"/>
      <c r="H495" s="75"/>
      <c r="I495" s="75"/>
      <c r="J495" s="75"/>
      <c r="K495" s="75"/>
      <c r="L495" s="75"/>
      <c r="M495" s="75"/>
      <c r="N495" s="75"/>
      <c r="O495" s="75"/>
      <c r="P495" s="75"/>
      <c r="Q495" s="75"/>
      <c r="R495" s="75"/>
      <c r="S495" s="75"/>
      <c r="T495" s="75"/>
      <c r="U495" s="75"/>
      <c r="V495" s="77"/>
      <c r="W495" s="75"/>
      <c r="X495" s="75"/>
      <c r="Y495" s="75"/>
      <c r="Z495" s="78"/>
      <c r="AA495" s="78"/>
      <c r="AB495" s="75"/>
      <c r="AJ495" s="72"/>
    </row>
    <row r="496" spans="1:36" s="69" customFormat="1" x14ac:dyDescent="0.25">
      <c r="A496" s="75"/>
      <c r="B496" s="75"/>
      <c r="C496" s="76"/>
      <c r="D496" s="76"/>
      <c r="E496" s="75"/>
      <c r="F496" s="75"/>
      <c r="G496" s="75"/>
      <c r="H496" s="75"/>
      <c r="I496" s="75"/>
      <c r="J496" s="75"/>
      <c r="K496" s="75"/>
      <c r="L496" s="75"/>
      <c r="M496" s="75"/>
      <c r="N496" s="75"/>
      <c r="O496" s="75"/>
      <c r="P496" s="75"/>
      <c r="Q496" s="75"/>
      <c r="R496" s="75"/>
      <c r="S496" s="75"/>
      <c r="T496" s="75"/>
      <c r="U496" s="75"/>
      <c r="V496" s="77"/>
      <c r="W496" s="75"/>
      <c r="X496" s="75"/>
      <c r="Y496" s="75"/>
      <c r="Z496" s="78"/>
      <c r="AA496" s="78"/>
      <c r="AB496" s="75"/>
      <c r="AJ496" s="72"/>
    </row>
    <row r="497" spans="1:36" s="69" customFormat="1" x14ac:dyDescent="0.25">
      <c r="A497" s="75"/>
      <c r="B497" s="75"/>
      <c r="C497" s="76"/>
      <c r="D497" s="76"/>
      <c r="E497" s="75"/>
      <c r="F497" s="75"/>
      <c r="G497" s="75"/>
      <c r="H497" s="75"/>
      <c r="I497" s="75"/>
      <c r="J497" s="75"/>
      <c r="K497" s="75"/>
      <c r="L497" s="75"/>
      <c r="M497" s="75"/>
      <c r="N497" s="75"/>
      <c r="O497" s="75"/>
      <c r="P497" s="75"/>
      <c r="Q497" s="75"/>
      <c r="R497" s="75"/>
      <c r="S497" s="75"/>
      <c r="T497" s="75"/>
      <c r="U497" s="75"/>
      <c r="V497" s="77"/>
      <c r="W497" s="75"/>
      <c r="X497" s="75"/>
      <c r="Y497" s="75"/>
      <c r="Z497" s="78"/>
      <c r="AA497" s="78"/>
      <c r="AB497" s="75"/>
      <c r="AJ497" s="72"/>
    </row>
    <row r="498" spans="1:36" s="69" customFormat="1" x14ac:dyDescent="0.25">
      <c r="A498" s="75"/>
      <c r="B498" s="75"/>
      <c r="C498" s="76"/>
      <c r="D498" s="76"/>
      <c r="E498" s="75"/>
      <c r="F498" s="75"/>
      <c r="G498" s="75"/>
      <c r="H498" s="75"/>
      <c r="I498" s="75"/>
      <c r="J498" s="75"/>
      <c r="K498" s="75"/>
      <c r="L498" s="75"/>
      <c r="M498" s="75"/>
      <c r="N498" s="75"/>
      <c r="O498" s="75"/>
      <c r="P498" s="75"/>
      <c r="Q498" s="75"/>
      <c r="R498" s="75"/>
      <c r="S498" s="75"/>
      <c r="T498" s="75"/>
      <c r="U498" s="75"/>
      <c r="V498" s="77"/>
      <c r="W498" s="75"/>
      <c r="X498" s="75"/>
      <c r="Y498" s="75"/>
      <c r="Z498" s="78"/>
      <c r="AA498" s="78"/>
      <c r="AB498" s="75"/>
      <c r="AJ498" s="72"/>
    </row>
    <row r="499" spans="1:36" s="69" customFormat="1" x14ac:dyDescent="0.25">
      <c r="A499" s="75"/>
      <c r="B499" s="75"/>
      <c r="C499" s="76"/>
      <c r="D499" s="76"/>
      <c r="E499" s="75"/>
      <c r="F499" s="75"/>
      <c r="G499" s="75"/>
      <c r="H499" s="75"/>
      <c r="I499" s="75"/>
      <c r="J499" s="75"/>
      <c r="K499" s="75"/>
      <c r="L499" s="75"/>
      <c r="M499" s="75"/>
      <c r="N499" s="75"/>
      <c r="O499" s="75"/>
      <c r="P499" s="75"/>
      <c r="Q499" s="75"/>
      <c r="R499" s="75"/>
      <c r="S499" s="75"/>
      <c r="T499" s="75"/>
      <c r="U499" s="75"/>
      <c r="V499" s="77"/>
      <c r="W499" s="75"/>
      <c r="X499" s="75"/>
      <c r="Y499" s="75"/>
      <c r="Z499" s="78"/>
      <c r="AA499" s="78"/>
      <c r="AB499" s="75"/>
      <c r="AJ499" s="72"/>
    </row>
    <row r="500" spans="1:36" s="69" customFormat="1" x14ac:dyDescent="0.25">
      <c r="A500" s="75"/>
      <c r="B500" s="75"/>
      <c r="C500" s="76"/>
      <c r="D500" s="76"/>
      <c r="E500" s="75"/>
      <c r="F500" s="75"/>
      <c r="G500" s="75"/>
      <c r="H500" s="75"/>
      <c r="I500" s="75"/>
      <c r="J500" s="75"/>
      <c r="K500" s="75"/>
      <c r="L500" s="75"/>
      <c r="M500" s="75"/>
      <c r="N500" s="75"/>
      <c r="O500" s="75"/>
      <c r="P500" s="75"/>
      <c r="Q500" s="75"/>
      <c r="R500" s="75"/>
      <c r="S500" s="75"/>
      <c r="T500" s="75"/>
      <c r="U500" s="75"/>
      <c r="V500" s="77"/>
      <c r="W500" s="75"/>
      <c r="X500" s="75"/>
      <c r="Y500" s="75"/>
      <c r="Z500" s="78"/>
      <c r="AA500" s="78"/>
      <c r="AB500" s="75"/>
      <c r="AJ500" s="72"/>
    </row>
    <row r="501" spans="1:36" s="69" customFormat="1" x14ac:dyDescent="0.25">
      <c r="A501" s="75"/>
      <c r="B501" s="75"/>
      <c r="C501" s="76"/>
      <c r="D501" s="76"/>
      <c r="E501" s="75"/>
      <c r="F501" s="75"/>
      <c r="G501" s="75"/>
      <c r="H501" s="75"/>
      <c r="I501" s="75"/>
      <c r="J501" s="75"/>
      <c r="K501" s="75"/>
      <c r="L501" s="75"/>
      <c r="M501" s="75"/>
      <c r="N501" s="75"/>
      <c r="O501" s="75"/>
      <c r="P501" s="75"/>
      <c r="Q501" s="75"/>
      <c r="R501" s="75"/>
      <c r="S501" s="75"/>
      <c r="T501" s="75"/>
      <c r="U501" s="75"/>
      <c r="V501" s="77"/>
      <c r="W501" s="75"/>
      <c r="X501" s="75"/>
      <c r="Y501" s="75"/>
      <c r="Z501" s="78"/>
      <c r="AA501" s="78"/>
      <c r="AB501" s="75"/>
      <c r="AJ501" s="72"/>
    </row>
    <row r="502" spans="1:36" s="69" customFormat="1" x14ac:dyDescent="0.25">
      <c r="A502" s="75"/>
      <c r="B502" s="75"/>
      <c r="C502" s="76"/>
      <c r="D502" s="76"/>
      <c r="E502" s="75"/>
      <c r="F502" s="75"/>
      <c r="G502" s="75"/>
      <c r="H502" s="75"/>
      <c r="I502" s="75"/>
      <c r="J502" s="75"/>
      <c r="K502" s="75"/>
      <c r="L502" s="75"/>
      <c r="M502" s="75"/>
      <c r="N502" s="75"/>
      <c r="O502" s="75"/>
      <c r="P502" s="75"/>
      <c r="Q502" s="75"/>
      <c r="R502" s="75"/>
      <c r="S502" s="75"/>
      <c r="T502" s="75"/>
      <c r="U502" s="75"/>
      <c r="V502" s="77"/>
      <c r="W502" s="75"/>
      <c r="X502" s="75"/>
      <c r="Y502" s="75"/>
      <c r="Z502" s="78"/>
      <c r="AA502" s="78"/>
      <c r="AB502" s="75"/>
      <c r="AJ502" s="72"/>
    </row>
    <row r="503" spans="1:36" s="69" customFormat="1" x14ac:dyDescent="0.25">
      <c r="A503" s="75"/>
      <c r="B503" s="75"/>
      <c r="C503" s="76"/>
      <c r="D503" s="76"/>
      <c r="E503" s="75"/>
      <c r="F503" s="75"/>
      <c r="G503" s="75"/>
      <c r="H503" s="75"/>
      <c r="I503" s="75"/>
      <c r="J503" s="75"/>
      <c r="K503" s="75"/>
      <c r="L503" s="75"/>
      <c r="M503" s="75"/>
      <c r="N503" s="75"/>
      <c r="O503" s="75"/>
      <c r="P503" s="75"/>
      <c r="Q503" s="75"/>
      <c r="R503" s="75"/>
      <c r="S503" s="75"/>
      <c r="T503" s="75"/>
      <c r="U503" s="75"/>
      <c r="V503" s="77"/>
      <c r="W503" s="75"/>
      <c r="X503" s="75"/>
      <c r="Y503" s="75"/>
      <c r="Z503" s="78"/>
      <c r="AA503" s="78"/>
      <c r="AB503" s="75"/>
      <c r="AJ503" s="72"/>
    </row>
    <row r="504" spans="1:36" s="69" customFormat="1" x14ac:dyDescent="0.25">
      <c r="A504" s="75"/>
      <c r="B504" s="75"/>
      <c r="C504" s="76"/>
      <c r="D504" s="76"/>
      <c r="E504" s="75"/>
      <c r="F504" s="75"/>
      <c r="G504" s="75"/>
      <c r="H504" s="75"/>
      <c r="I504" s="75"/>
      <c r="J504" s="75"/>
      <c r="K504" s="75"/>
      <c r="L504" s="75"/>
      <c r="M504" s="75"/>
      <c r="N504" s="75"/>
      <c r="O504" s="75"/>
      <c r="P504" s="75"/>
      <c r="Q504" s="75"/>
      <c r="R504" s="75"/>
      <c r="S504" s="75"/>
      <c r="T504" s="75"/>
      <c r="U504" s="75"/>
      <c r="V504" s="77"/>
      <c r="W504" s="75"/>
      <c r="X504" s="75"/>
      <c r="Y504" s="75"/>
      <c r="Z504" s="78"/>
      <c r="AA504" s="78"/>
      <c r="AB504" s="75"/>
      <c r="AJ504" s="72"/>
    </row>
    <row r="505" spans="1:36" s="69" customFormat="1" x14ac:dyDescent="0.25">
      <c r="A505" s="75"/>
      <c r="B505" s="75"/>
      <c r="C505" s="76"/>
      <c r="D505" s="76"/>
      <c r="E505" s="75"/>
      <c r="F505" s="75"/>
      <c r="G505" s="75"/>
      <c r="H505" s="75"/>
      <c r="I505" s="75"/>
      <c r="J505" s="75"/>
      <c r="K505" s="75"/>
      <c r="L505" s="75"/>
      <c r="M505" s="75"/>
      <c r="N505" s="75"/>
      <c r="O505" s="75"/>
      <c r="P505" s="75"/>
      <c r="Q505" s="75"/>
      <c r="R505" s="75"/>
      <c r="S505" s="75"/>
      <c r="T505" s="75"/>
      <c r="U505" s="75"/>
      <c r="V505" s="77"/>
      <c r="W505" s="75"/>
      <c r="X505" s="75"/>
      <c r="Y505" s="75"/>
      <c r="Z505" s="78"/>
      <c r="AA505" s="78"/>
      <c r="AB505" s="75"/>
      <c r="AJ505" s="72"/>
    </row>
    <row r="506" spans="1:36" s="69" customFormat="1" x14ac:dyDescent="0.25">
      <c r="A506" s="75"/>
      <c r="B506" s="75"/>
      <c r="C506" s="76"/>
      <c r="D506" s="76"/>
      <c r="E506" s="75"/>
      <c r="F506" s="75"/>
      <c r="G506" s="75"/>
      <c r="H506" s="75"/>
      <c r="I506" s="75"/>
      <c r="J506" s="75"/>
      <c r="K506" s="75"/>
      <c r="L506" s="75"/>
      <c r="M506" s="75"/>
      <c r="N506" s="75"/>
      <c r="O506" s="75"/>
      <c r="P506" s="75"/>
      <c r="Q506" s="75"/>
      <c r="R506" s="75"/>
      <c r="S506" s="75"/>
      <c r="T506" s="75"/>
      <c r="U506" s="75"/>
      <c r="V506" s="77"/>
      <c r="W506" s="75"/>
      <c r="X506" s="75"/>
      <c r="Y506" s="75"/>
      <c r="Z506" s="78"/>
      <c r="AA506" s="78"/>
      <c r="AB506" s="75"/>
      <c r="AJ506" s="72"/>
    </row>
    <row r="507" spans="1:36" s="69" customFormat="1" x14ac:dyDescent="0.25">
      <c r="A507" s="75"/>
      <c r="B507" s="75"/>
      <c r="C507" s="76"/>
      <c r="D507" s="76"/>
      <c r="E507" s="75"/>
      <c r="F507" s="75"/>
      <c r="G507" s="75"/>
      <c r="H507" s="75"/>
      <c r="I507" s="75"/>
      <c r="J507" s="75"/>
      <c r="K507" s="75"/>
      <c r="L507" s="75"/>
      <c r="M507" s="75"/>
      <c r="N507" s="75"/>
      <c r="O507" s="75"/>
      <c r="P507" s="75"/>
      <c r="Q507" s="75"/>
      <c r="R507" s="75"/>
      <c r="S507" s="75"/>
      <c r="T507" s="75"/>
      <c r="U507" s="75"/>
      <c r="V507" s="77"/>
      <c r="W507" s="75"/>
      <c r="X507" s="75"/>
      <c r="Y507" s="75"/>
      <c r="Z507" s="78"/>
      <c r="AA507" s="78"/>
      <c r="AB507" s="75"/>
      <c r="AJ507" s="72"/>
    </row>
    <row r="508" spans="1:36" s="69" customFormat="1" x14ac:dyDescent="0.25">
      <c r="A508" s="75"/>
      <c r="B508" s="75"/>
      <c r="C508" s="76"/>
      <c r="D508" s="76"/>
      <c r="E508" s="75"/>
      <c r="F508" s="75"/>
      <c r="G508" s="75"/>
      <c r="H508" s="75"/>
      <c r="I508" s="75"/>
      <c r="J508" s="75"/>
      <c r="K508" s="75"/>
      <c r="L508" s="75"/>
      <c r="M508" s="75"/>
      <c r="N508" s="75"/>
      <c r="O508" s="75"/>
      <c r="P508" s="75"/>
      <c r="Q508" s="75"/>
      <c r="R508" s="75"/>
      <c r="S508" s="75"/>
      <c r="T508" s="75"/>
      <c r="U508" s="75"/>
      <c r="V508" s="77"/>
      <c r="W508" s="75"/>
      <c r="X508" s="75"/>
      <c r="Y508" s="75"/>
      <c r="Z508" s="78"/>
      <c r="AA508" s="78"/>
      <c r="AB508" s="75"/>
      <c r="AJ508" s="72"/>
    </row>
    <row r="509" spans="1:36" s="69" customFormat="1" x14ac:dyDescent="0.25">
      <c r="A509" s="75"/>
      <c r="B509" s="75"/>
      <c r="C509" s="76"/>
      <c r="D509" s="76"/>
      <c r="E509" s="75"/>
      <c r="F509" s="75"/>
      <c r="G509" s="75"/>
      <c r="H509" s="75"/>
      <c r="I509" s="75"/>
      <c r="J509" s="75"/>
      <c r="K509" s="75"/>
      <c r="L509" s="75"/>
      <c r="M509" s="75"/>
      <c r="N509" s="75"/>
      <c r="O509" s="75"/>
      <c r="P509" s="75"/>
      <c r="Q509" s="75"/>
      <c r="R509" s="75"/>
      <c r="S509" s="75"/>
      <c r="T509" s="75"/>
      <c r="U509" s="75"/>
      <c r="V509" s="77"/>
      <c r="W509" s="75"/>
      <c r="X509" s="75"/>
      <c r="Y509" s="75"/>
      <c r="Z509" s="78"/>
      <c r="AA509" s="78"/>
      <c r="AB509" s="75"/>
      <c r="AJ509" s="72"/>
    </row>
    <row r="510" spans="1:36" s="69" customFormat="1" x14ac:dyDescent="0.25">
      <c r="A510" s="75"/>
      <c r="B510" s="75"/>
      <c r="C510" s="76"/>
      <c r="D510" s="76"/>
      <c r="E510" s="75"/>
      <c r="F510" s="75"/>
      <c r="G510" s="75"/>
      <c r="H510" s="75"/>
      <c r="I510" s="75"/>
      <c r="J510" s="75"/>
      <c r="K510" s="75"/>
      <c r="L510" s="75"/>
      <c r="M510" s="75"/>
      <c r="N510" s="75"/>
      <c r="O510" s="75"/>
      <c r="P510" s="75"/>
      <c r="Q510" s="75"/>
      <c r="R510" s="75"/>
      <c r="S510" s="75"/>
      <c r="T510" s="75"/>
      <c r="U510" s="75"/>
      <c r="V510" s="77"/>
      <c r="W510" s="75"/>
      <c r="X510" s="75"/>
      <c r="Y510" s="75"/>
      <c r="Z510" s="78"/>
      <c r="AA510" s="78"/>
      <c r="AB510" s="75"/>
      <c r="AJ510" s="72"/>
    </row>
    <row r="511" spans="1:36" s="69" customFormat="1" x14ac:dyDescent="0.25">
      <c r="A511" s="75"/>
      <c r="B511" s="75"/>
      <c r="C511" s="76"/>
      <c r="D511" s="76"/>
      <c r="E511" s="75"/>
      <c r="F511" s="75"/>
      <c r="G511" s="75"/>
      <c r="H511" s="75"/>
      <c r="I511" s="75"/>
      <c r="J511" s="75"/>
      <c r="K511" s="75"/>
      <c r="L511" s="75"/>
      <c r="M511" s="75"/>
      <c r="N511" s="75"/>
      <c r="O511" s="75"/>
      <c r="P511" s="75"/>
      <c r="Q511" s="75"/>
      <c r="R511" s="75"/>
      <c r="S511" s="75"/>
      <c r="T511" s="75"/>
      <c r="U511" s="75"/>
      <c r="V511" s="77"/>
      <c r="W511" s="75"/>
      <c r="X511" s="75"/>
      <c r="Y511" s="75"/>
      <c r="Z511" s="78"/>
      <c r="AA511" s="78"/>
      <c r="AB511" s="75"/>
      <c r="AJ511" s="72"/>
    </row>
    <row r="512" spans="1:36" s="69" customFormat="1" x14ac:dyDescent="0.25">
      <c r="A512" s="75"/>
      <c r="B512" s="75"/>
      <c r="C512" s="76"/>
      <c r="D512" s="76"/>
      <c r="E512" s="75"/>
      <c r="F512" s="75"/>
      <c r="G512" s="75"/>
      <c r="H512" s="75"/>
      <c r="I512" s="75"/>
      <c r="J512" s="75"/>
      <c r="K512" s="75"/>
      <c r="L512" s="75"/>
      <c r="M512" s="75"/>
      <c r="N512" s="75"/>
      <c r="O512" s="75"/>
      <c r="P512" s="75"/>
      <c r="Q512" s="75"/>
      <c r="R512" s="75"/>
      <c r="S512" s="75"/>
      <c r="T512" s="75"/>
      <c r="U512" s="75"/>
      <c r="V512" s="77"/>
      <c r="W512" s="75"/>
      <c r="X512" s="75"/>
      <c r="Y512" s="75"/>
      <c r="Z512" s="78"/>
      <c r="AA512" s="78"/>
      <c r="AB512" s="75"/>
      <c r="AJ512" s="72"/>
    </row>
    <row r="513" spans="1:36" s="69" customFormat="1" x14ac:dyDescent="0.25">
      <c r="A513" s="75"/>
      <c r="B513" s="75"/>
      <c r="C513" s="76"/>
      <c r="D513" s="76"/>
      <c r="E513" s="75"/>
      <c r="F513" s="75"/>
      <c r="G513" s="75"/>
      <c r="H513" s="75"/>
      <c r="I513" s="75"/>
      <c r="J513" s="75"/>
      <c r="K513" s="75"/>
      <c r="L513" s="75"/>
      <c r="M513" s="75"/>
      <c r="N513" s="75"/>
      <c r="O513" s="75"/>
      <c r="P513" s="75"/>
      <c r="Q513" s="75"/>
      <c r="R513" s="75"/>
      <c r="S513" s="75"/>
      <c r="T513" s="75"/>
      <c r="U513" s="75"/>
      <c r="V513" s="77"/>
      <c r="W513" s="75"/>
      <c r="X513" s="75"/>
      <c r="Y513" s="75"/>
      <c r="Z513" s="78"/>
      <c r="AA513" s="78"/>
      <c r="AB513" s="75"/>
      <c r="AJ513" s="72"/>
    </row>
    <row r="514" spans="1:36" s="69" customFormat="1" x14ac:dyDescent="0.25">
      <c r="A514" s="75"/>
      <c r="B514" s="75"/>
      <c r="C514" s="76"/>
      <c r="D514" s="76"/>
      <c r="E514" s="75"/>
      <c r="F514" s="75"/>
      <c r="G514" s="75"/>
      <c r="H514" s="75"/>
      <c r="I514" s="75"/>
      <c r="J514" s="75"/>
      <c r="K514" s="75"/>
      <c r="L514" s="75"/>
      <c r="M514" s="75"/>
      <c r="N514" s="75"/>
      <c r="O514" s="75"/>
      <c r="P514" s="75"/>
      <c r="Q514" s="75"/>
      <c r="R514" s="75"/>
      <c r="S514" s="75"/>
      <c r="T514" s="75"/>
      <c r="U514" s="75"/>
      <c r="V514" s="77"/>
      <c r="W514" s="75"/>
      <c r="X514" s="75"/>
      <c r="Y514" s="75"/>
      <c r="Z514" s="78"/>
      <c r="AA514" s="78"/>
      <c r="AB514" s="75"/>
      <c r="AJ514" s="72"/>
    </row>
    <row r="515" spans="1:36" s="69" customFormat="1" x14ac:dyDescent="0.25">
      <c r="A515" s="75"/>
      <c r="B515" s="75"/>
      <c r="C515" s="76"/>
      <c r="D515" s="76"/>
      <c r="E515" s="75"/>
      <c r="F515" s="75"/>
      <c r="G515" s="75"/>
      <c r="H515" s="75"/>
      <c r="I515" s="75"/>
      <c r="J515" s="75"/>
      <c r="K515" s="75"/>
      <c r="L515" s="75"/>
      <c r="M515" s="75"/>
      <c r="N515" s="75"/>
      <c r="O515" s="75"/>
      <c r="P515" s="75"/>
      <c r="Q515" s="75"/>
      <c r="R515" s="75"/>
      <c r="S515" s="75"/>
      <c r="T515" s="75"/>
      <c r="U515" s="75"/>
      <c r="V515" s="77"/>
      <c r="W515" s="75"/>
      <c r="X515" s="75"/>
      <c r="Y515" s="75"/>
      <c r="Z515" s="78"/>
      <c r="AA515" s="78"/>
      <c r="AB515" s="75"/>
      <c r="AJ515" s="72"/>
    </row>
    <row r="516" spans="1:36" s="69" customFormat="1" x14ac:dyDescent="0.25">
      <c r="A516" s="75"/>
      <c r="B516" s="75"/>
      <c r="C516" s="76"/>
      <c r="D516" s="76"/>
      <c r="E516" s="75"/>
      <c r="F516" s="75"/>
      <c r="G516" s="75"/>
      <c r="H516" s="75"/>
      <c r="I516" s="75"/>
      <c r="J516" s="75"/>
      <c r="K516" s="75"/>
      <c r="L516" s="75"/>
      <c r="M516" s="75"/>
      <c r="N516" s="75"/>
      <c r="O516" s="75"/>
      <c r="P516" s="75"/>
      <c r="Q516" s="75"/>
      <c r="R516" s="75"/>
      <c r="S516" s="75"/>
      <c r="T516" s="75"/>
      <c r="U516" s="75"/>
      <c r="V516" s="77"/>
      <c r="W516" s="75"/>
      <c r="X516" s="75"/>
      <c r="Y516" s="75"/>
      <c r="Z516" s="78"/>
      <c r="AA516" s="78"/>
      <c r="AB516" s="75"/>
      <c r="AJ516" s="72"/>
    </row>
    <row r="517" spans="1:36" s="69" customFormat="1" x14ac:dyDescent="0.25">
      <c r="A517" s="75"/>
      <c r="B517" s="75"/>
      <c r="C517" s="76"/>
      <c r="D517" s="76"/>
      <c r="E517" s="75"/>
      <c r="F517" s="75"/>
      <c r="G517" s="75"/>
      <c r="H517" s="75"/>
      <c r="I517" s="75"/>
      <c r="J517" s="75"/>
      <c r="K517" s="75"/>
      <c r="L517" s="75"/>
      <c r="M517" s="75"/>
      <c r="N517" s="75"/>
      <c r="O517" s="75"/>
      <c r="P517" s="75"/>
      <c r="Q517" s="75"/>
      <c r="R517" s="75"/>
      <c r="S517" s="75"/>
      <c r="T517" s="75"/>
      <c r="U517" s="75"/>
      <c r="V517" s="77"/>
      <c r="W517" s="75"/>
      <c r="X517" s="75"/>
      <c r="Y517" s="75"/>
      <c r="Z517" s="78"/>
      <c r="AA517" s="78"/>
      <c r="AB517" s="75"/>
      <c r="AJ517" s="72"/>
    </row>
    <row r="518" spans="1:36" s="69" customFormat="1" x14ac:dyDescent="0.25">
      <c r="A518" s="75"/>
      <c r="B518" s="75"/>
      <c r="C518" s="76"/>
      <c r="D518" s="76"/>
      <c r="E518" s="75"/>
      <c r="F518" s="75"/>
      <c r="G518" s="75"/>
      <c r="H518" s="75"/>
      <c r="I518" s="75"/>
      <c r="J518" s="75"/>
      <c r="K518" s="75"/>
      <c r="L518" s="75"/>
      <c r="M518" s="75"/>
      <c r="N518" s="75"/>
      <c r="O518" s="75"/>
      <c r="P518" s="75"/>
      <c r="Q518" s="75"/>
      <c r="R518" s="75"/>
      <c r="S518" s="75"/>
      <c r="T518" s="75"/>
      <c r="U518" s="75"/>
      <c r="V518" s="77"/>
      <c r="W518" s="75"/>
      <c r="X518" s="75"/>
      <c r="Y518" s="75"/>
      <c r="Z518" s="78"/>
      <c r="AA518" s="78"/>
      <c r="AB518" s="75"/>
      <c r="AJ518" s="72"/>
    </row>
    <row r="519" spans="1:36" s="69" customFormat="1" x14ac:dyDescent="0.25">
      <c r="A519" s="75"/>
      <c r="B519" s="75"/>
      <c r="C519" s="76"/>
      <c r="D519" s="76"/>
      <c r="E519" s="75"/>
      <c r="F519" s="75"/>
      <c r="G519" s="75"/>
      <c r="H519" s="75"/>
      <c r="I519" s="75"/>
      <c r="J519" s="75"/>
      <c r="K519" s="75"/>
      <c r="L519" s="75"/>
      <c r="M519" s="75"/>
      <c r="N519" s="75"/>
      <c r="O519" s="75"/>
      <c r="P519" s="75"/>
      <c r="Q519" s="75"/>
      <c r="R519" s="75"/>
      <c r="S519" s="75"/>
      <c r="T519" s="75"/>
      <c r="U519" s="75"/>
      <c r="V519" s="77"/>
      <c r="W519" s="75"/>
      <c r="X519" s="75"/>
      <c r="Y519" s="75"/>
      <c r="Z519" s="78"/>
      <c r="AA519" s="78"/>
      <c r="AB519" s="75"/>
      <c r="AJ519" s="72"/>
    </row>
    <row r="520" spans="1:36" s="69" customFormat="1" x14ac:dyDescent="0.25">
      <c r="A520" s="75"/>
      <c r="B520" s="75"/>
      <c r="C520" s="76"/>
      <c r="D520" s="76"/>
      <c r="E520" s="75"/>
      <c r="F520" s="75"/>
      <c r="G520" s="75"/>
      <c r="H520" s="75"/>
      <c r="I520" s="75"/>
      <c r="J520" s="75"/>
      <c r="K520" s="75"/>
      <c r="L520" s="75"/>
      <c r="M520" s="75"/>
      <c r="N520" s="75"/>
      <c r="O520" s="75"/>
      <c r="P520" s="75"/>
      <c r="Q520" s="75"/>
      <c r="R520" s="75"/>
      <c r="S520" s="75"/>
      <c r="T520" s="75"/>
      <c r="U520" s="75"/>
      <c r="V520" s="77"/>
      <c r="W520" s="75"/>
      <c r="X520" s="75"/>
      <c r="Y520" s="75"/>
      <c r="Z520" s="78"/>
      <c r="AA520" s="78"/>
      <c r="AB520" s="75"/>
      <c r="AJ520" s="72"/>
    </row>
    <row r="521" spans="1:36" s="69" customFormat="1" x14ac:dyDescent="0.25">
      <c r="A521" s="75"/>
      <c r="B521" s="75"/>
      <c r="C521" s="76"/>
      <c r="D521" s="76"/>
      <c r="E521" s="75"/>
      <c r="F521" s="75"/>
      <c r="G521" s="75"/>
      <c r="H521" s="75"/>
      <c r="I521" s="75"/>
      <c r="J521" s="75"/>
      <c r="K521" s="75"/>
      <c r="L521" s="75"/>
      <c r="M521" s="75"/>
      <c r="N521" s="75"/>
      <c r="O521" s="75"/>
      <c r="P521" s="75"/>
      <c r="Q521" s="75"/>
      <c r="R521" s="75"/>
      <c r="S521" s="75"/>
      <c r="T521" s="75"/>
      <c r="U521" s="75"/>
      <c r="V521" s="77"/>
      <c r="W521" s="75"/>
      <c r="X521" s="75"/>
      <c r="Y521" s="75"/>
      <c r="Z521" s="78"/>
      <c r="AA521" s="78"/>
      <c r="AB521" s="75"/>
      <c r="AJ521" s="72"/>
    </row>
    <row r="522" spans="1:36" s="69" customFormat="1" x14ac:dyDescent="0.25">
      <c r="A522" s="75"/>
      <c r="B522" s="75"/>
      <c r="C522" s="76"/>
      <c r="D522" s="76"/>
      <c r="E522" s="75"/>
      <c r="F522" s="75"/>
      <c r="G522" s="75"/>
      <c r="H522" s="75"/>
      <c r="I522" s="75"/>
      <c r="J522" s="75"/>
      <c r="K522" s="75"/>
      <c r="L522" s="75"/>
      <c r="M522" s="75"/>
      <c r="N522" s="75"/>
      <c r="O522" s="75"/>
      <c r="P522" s="75"/>
      <c r="Q522" s="75"/>
      <c r="R522" s="75"/>
      <c r="S522" s="75"/>
      <c r="T522" s="75"/>
      <c r="U522" s="75"/>
      <c r="V522" s="77"/>
      <c r="W522" s="75"/>
      <c r="X522" s="75"/>
      <c r="Y522" s="75"/>
      <c r="Z522" s="78"/>
      <c r="AA522" s="78"/>
      <c r="AB522" s="75"/>
      <c r="AJ522" s="72"/>
    </row>
    <row r="523" spans="1:36" s="69" customFormat="1" x14ac:dyDescent="0.25">
      <c r="A523" s="75"/>
      <c r="B523" s="75"/>
      <c r="C523" s="76"/>
      <c r="D523" s="76"/>
      <c r="E523" s="75"/>
      <c r="F523" s="75"/>
      <c r="G523" s="75"/>
      <c r="H523" s="75"/>
      <c r="I523" s="75"/>
      <c r="J523" s="75"/>
      <c r="K523" s="75"/>
      <c r="L523" s="75"/>
      <c r="M523" s="75"/>
      <c r="N523" s="75"/>
      <c r="O523" s="75"/>
      <c r="P523" s="75"/>
      <c r="Q523" s="75"/>
      <c r="R523" s="75"/>
      <c r="S523" s="75"/>
      <c r="T523" s="75"/>
      <c r="U523" s="75"/>
      <c r="V523" s="77"/>
      <c r="W523" s="75"/>
      <c r="X523" s="75"/>
      <c r="Y523" s="75"/>
      <c r="Z523" s="78"/>
      <c r="AA523" s="78"/>
      <c r="AB523" s="75"/>
      <c r="AJ523" s="72"/>
    </row>
    <row r="524" spans="1:36" s="69" customFormat="1" x14ac:dyDescent="0.25">
      <c r="A524" s="75"/>
      <c r="B524" s="75"/>
      <c r="C524" s="76"/>
      <c r="D524" s="76"/>
      <c r="E524" s="75"/>
      <c r="F524" s="75"/>
      <c r="G524" s="75"/>
      <c r="H524" s="75"/>
      <c r="I524" s="75"/>
      <c r="J524" s="75"/>
      <c r="K524" s="75"/>
      <c r="L524" s="75"/>
      <c r="M524" s="75"/>
      <c r="N524" s="75"/>
      <c r="O524" s="75"/>
      <c r="P524" s="75"/>
      <c r="Q524" s="75"/>
      <c r="R524" s="75"/>
      <c r="S524" s="75"/>
      <c r="T524" s="75"/>
      <c r="U524" s="75"/>
      <c r="V524" s="77"/>
      <c r="W524" s="75"/>
      <c r="X524" s="75"/>
      <c r="Y524" s="75"/>
      <c r="Z524" s="78"/>
      <c r="AA524" s="78"/>
      <c r="AB524" s="75"/>
      <c r="AJ524" s="72"/>
    </row>
    <row r="525" spans="1:36" s="69" customFormat="1" x14ac:dyDescent="0.25">
      <c r="A525" s="75"/>
      <c r="B525" s="75"/>
      <c r="C525" s="76"/>
      <c r="D525" s="76"/>
      <c r="E525" s="75"/>
      <c r="F525" s="75"/>
      <c r="G525" s="75"/>
      <c r="H525" s="75"/>
      <c r="I525" s="75"/>
      <c r="J525" s="75"/>
      <c r="K525" s="75"/>
      <c r="L525" s="75"/>
      <c r="M525" s="75"/>
      <c r="N525" s="75"/>
      <c r="O525" s="75"/>
      <c r="P525" s="75"/>
      <c r="Q525" s="75"/>
      <c r="R525" s="75"/>
      <c r="S525" s="75"/>
      <c r="T525" s="75"/>
      <c r="U525" s="75"/>
      <c r="V525" s="77"/>
      <c r="W525" s="75"/>
      <c r="X525" s="75"/>
      <c r="Y525" s="75"/>
      <c r="Z525" s="78"/>
      <c r="AA525" s="78"/>
      <c r="AB525" s="75"/>
      <c r="AJ525" s="72"/>
    </row>
    <row r="526" spans="1:36" s="69" customFormat="1" x14ac:dyDescent="0.25">
      <c r="A526" s="75"/>
      <c r="B526" s="75"/>
      <c r="C526" s="76"/>
      <c r="D526" s="76"/>
      <c r="E526" s="75"/>
      <c r="F526" s="75"/>
      <c r="G526" s="75"/>
      <c r="H526" s="75"/>
      <c r="I526" s="75"/>
      <c r="J526" s="75"/>
      <c r="K526" s="75"/>
      <c r="L526" s="75"/>
      <c r="M526" s="75"/>
      <c r="N526" s="75"/>
      <c r="O526" s="75"/>
      <c r="P526" s="75"/>
      <c r="Q526" s="75"/>
      <c r="R526" s="75"/>
      <c r="S526" s="75"/>
      <c r="T526" s="75"/>
      <c r="U526" s="75"/>
      <c r="V526" s="77"/>
      <c r="W526" s="75"/>
      <c r="X526" s="75"/>
      <c r="Y526" s="75"/>
      <c r="Z526" s="78"/>
      <c r="AA526" s="78"/>
      <c r="AB526" s="75"/>
      <c r="AJ526" s="72"/>
    </row>
    <row r="527" spans="1:36" s="69" customFormat="1" x14ac:dyDescent="0.25">
      <c r="A527" s="75"/>
      <c r="B527" s="75"/>
      <c r="C527" s="76"/>
      <c r="D527" s="76"/>
      <c r="E527" s="75"/>
      <c r="F527" s="75"/>
      <c r="G527" s="75"/>
      <c r="H527" s="75"/>
      <c r="I527" s="75"/>
      <c r="J527" s="75"/>
      <c r="K527" s="75"/>
      <c r="L527" s="75"/>
      <c r="M527" s="75"/>
      <c r="N527" s="75"/>
      <c r="O527" s="75"/>
      <c r="P527" s="75"/>
      <c r="Q527" s="75"/>
      <c r="R527" s="75"/>
      <c r="S527" s="75"/>
      <c r="T527" s="75"/>
      <c r="U527" s="75"/>
      <c r="V527" s="77"/>
      <c r="W527" s="75"/>
      <c r="X527" s="75"/>
      <c r="Y527" s="75"/>
      <c r="Z527" s="78"/>
      <c r="AA527" s="78"/>
      <c r="AB527" s="75"/>
      <c r="AJ527" s="72"/>
    </row>
    <row r="528" spans="1:36" s="69" customFormat="1" x14ac:dyDescent="0.25">
      <c r="A528" s="75"/>
      <c r="B528" s="75"/>
      <c r="C528" s="76"/>
      <c r="D528" s="76"/>
      <c r="E528" s="75"/>
      <c r="F528" s="75"/>
      <c r="G528" s="75"/>
      <c r="H528" s="75"/>
      <c r="I528" s="75"/>
      <c r="J528" s="75"/>
      <c r="K528" s="75"/>
      <c r="L528" s="75"/>
      <c r="M528" s="75"/>
      <c r="N528" s="75"/>
      <c r="O528" s="75"/>
      <c r="P528" s="75"/>
      <c r="Q528" s="75"/>
      <c r="R528" s="75"/>
      <c r="S528" s="75"/>
      <c r="T528" s="75"/>
      <c r="U528" s="75"/>
      <c r="V528" s="77"/>
      <c r="W528" s="75"/>
      <c r="X528" s="75"/>
      <c r="Y528" s="75"/>
      <c r="Z528" s="78"/>
      <c r="AA528" s="78"/>
      <c r="AB528" s="75"/>
      <c r="AJ528" s="72"/>
    </row>
    <row r="529" spans="1:36" s="69" customFormat="1" x14ac:dyDescent="0.25">
      <c r="A529" s="75"/>
      <c r="B529" s="75"/>
      <c r="C529" s="76"/>
      <c r="D529" s="76"/>
      <c r="E529" s="75"/>
      <c r="F529" s="75"/>
      <c r="G529" s="75"/>
      <c r="H529" s="75"/>
      <c r="I529" s="75"/>
      <c r="J529" s="75"/>
      <c r="K529" s="75"/>
      <c r="L529" s="75"/>
      <c r="M529" s="75"/>
      <c r="N529" s="75"/>
      <c r="O529" s="75"/>
      <c r="P529" s="75"/>
      <c r="Q529" s="75"/>
      <c r="R529" s="75"/>
      <c r="S529" s="75"/>
      <c r="T529" s="75"/>
      <c r="U529" s="75"/>
      <c r="V529" s="77"/>
      <c r="W529" s="75"/>
      <c r="X529" s="75"/>
      <c r="Y529" s="75"/>
      <c r="Z529" s="78"/>
      <c r="AA529" s="78"/>
      <c r="AB529" s="75"/>
      <c r="AJ529" s="72"/>
    </row>
    <row r="530" spans="1:36" s="69" customFormat="1" x14ac:dyDescent="0.25">
      <c r="A530" s="75"/>
      <c r="B530" s="75"/>
      <c r="C530" s="76"/>
      <c r="D530" s="76"/>
      <c r="E530" s="75"/>
      <c r="F530" s="75"/>
      <c r="G530" s="75"/>
      <c r="H530" s="75"/>
      <c r="I530" s="75"/>
      <c r="J530" s="75"/>
      <c r="K530" s="75"/>
      <c r="L530" s="75"/>
      <c r="M530" s="75"/>
      <c r="N530" s="75"/>
      <c r="O530" s="75"/>
      <c r="P530" s="75"/>
      <c r="Q530" s="75"/>
      <c r="R530" s="75"/>
      <c r="S530" s="75"/>
      <c r="T530" s="75"/>
      <c r="U530" s="75"/>
      <c r="V530" s="77"/>
      <c r="W530" s="75"/>
      <c r="X530" s="75"/>
      <c r="Y530" s="75"/>
      <c r="Z530" s="78"/>
      <c r="AA530" s="78"/>
      <c r="AB530" s="75"/>
      <c r="AJ530" s="72"/>
    </row>
    <row r="531" spans="1:36" s="69" customFormat="1" x14ac:dyDescent="0.25">
      <c r="A531" s="75"/>
      <c r="B531" s="75"/>
      <c r="C531" s="76"/>
      <c r="D531" s="76"/>
      <c r="E531" s="75"/>
      <c r="F531" s="75"/>
      <c r="G531" s="75"/>
      <c r="H531" s="75"/>
      <c r="I531" s="75"/>
      <c r="J531" s="75"/>
      <c r="K531" s="75"/>
      <c r="L531" s="75"/>
      <c r="M531" s="75"/>
      <c r="N531" s="75"/>
      <c r="O531" s="75"/>
      <c r="P531" s="75"/>
      <c r="Q531" s="75"/>
      <c r="R531" s="75"/>
      <c r="S531" s="75"/>
      <c r="T531" s="75"/>
      <c r="U531" s="75"/>
      <c r="V531" s="77"/>
      <c r="W531" s="75"/>
      <c r="X531" s="75"/>
      <c r="Y531" s="75"/>
      <c r="Z531" s="78"/>
      <c r="AA531" s="78"/>
      <c r="AB531" s="75"/>
      <c r="AJ531" s="72"/>
    </row>
    <row r="532" spans="1:36" s="69" customFormat="1" x14ac:dyDescent="0.25">
      <c r="A532" s="75"/>
      <c r="B532" s="75"/>
      <c r="C532" s="76"/>
      <c r="D532" s="76"/>
      <c r="E532" s="75"/>
      <c r="F532" s="75"/>
      <c r="G532" s="75"/>
      <c r="H532" s="75"/>
      <c r="I532" s="75"/>
      <c r="J532" s="75"/>
      <c r="K532" s="75"/>
      <c r="L532" s="75"/>
      <c r="M532" s="75"/>
      <c r="N532" s="75"/>
      <c r="O532" s="75"/>
      <c r="P532" s="75"/>
      <c r="Q532" s="75"/>
      <c r="R532" s="75"/>
      <c r="S532" s="75"/>
      <c r="T532" s="75"/>
      <c r="U532" s="75"/>
      <c r="V532" s="77"/>
      <c r="W532" s="75"/>
      <c r="X532" s="75"/>
      <c r="Y532" s="75"/>
      <c r="Z532" s="78"/>
      <c r="AA532" s="78"/>
      <c r="AB532" s="75"/>
      <c r="AJ532" s="72"/>
    </row>
    <row r="533" spans="1:36" s="69" customFormat="1" x14ac:dyDescent="0.25">
      <c r="A533" s="75"/>
      <c r="B533" s="75"/>
      <c r="C533" s="76"/>
      <c r="D533" s="76"/>
      <c r="E533" s="75"/>
      <c r="F533" s="75"/>
      <c r="G533" s="75"/>
      <c r="H533" s="75"/>
      <c r="I533" s="75"/>
      <c r="J533" s="75"/>
      <c r="K533" s="75"/>
      <c r="L533" s="75"/>
      <c r="M533" s="75"/>
      <c r="N533" s="75"/>
      <c r="O533" s="75"/>
      <c r="P533" s="75"/>
      <c r="Q533" s="75"/>
      <c r="R533" s="75"/>
      <c r="S533" s="75"/>
      <c r="T533" s="75"/>
      <c r="U533" s="75"/>
      <c r="V533" s="77"/>
      <c r="W533" s="75"/>
      <c r="X533" s="75"/>
      <c r="Y533" s="75"/>
      <c r="Z533" s="78"/>
      <c r="AA533" s="78"/>
      <c r="AB533" s="75"/>
      <c r="AJ533" s="72"/>
    </row>
    <row r="534" spans="1:36" s="69" customFormat="1" x14ac:dyDescent="0.25">
      <c r="A534" s="75"/>
      <c r="B534" s="75"/>
      <c r="C534" s="76"/>
      <c r="D534" s="76"/>
      <c r="E534" s="75"/>
      <c r="F534" s="75"/>
      <c r="G534" s="75"/>
      <c r="H534" s="75"/>
      <c r="I534" s="75"/>
      <c r="J534" s="75"/>
      <c r="K534" s="75"/>
      <c r="L534" s="75"/>
      <c r="M534" s="75"/>
      <c r="N534" s="75"/>
      <c r="O534" s="75"/>
      <c r="P534" s="75"/>
      <c r="Q534" s="75"/>
      <c r="R534" s="75"/>
      <c r="S534" s="75"/>
      <c r="T534" s="75"/>
      <c r="U534" s="75"/>
      <c r="V534" s="77"/>
      <c r="W534" s="75"/>
      <c r="X534" s="75"/>
      <c r="Y534" s="75"/>
      <c r="Z534" s="78"/>
      <c r="AA534" s="78"/>
      <c r="AB534" s="75"/>
      <c r="AJ534" s="72"/>
    </row>
    <row r="535" spans="1:36" s="69" customFormat="1" x14ac:dyDescent="0.25">
      <c r="A535" s="75"/>
      <c r="B535" s="75"/>
      <c r="C535" s="76"/>
      <c r="D535" s="76"/>
      <c r="E535" s="75"/>
      <c r="F535" s="75"/>
      <c r="G535" s="75"/>
      <c r="H535" s="75"/>
      <c r="I535" s="75"/>
      <c r="J535" s="75"/>
      <c r="K535" s="75"/>
      <c r="L535" s="75"/>
      <c r="M535" s="75"/>
      <c r="N535" s="75"/>
      <c r="O535" s="75"/>
      <c r="P535" s="75"/>
      <c r="Q535" s="75"/>
      <c r="R535" s="75"/>
      <c r="S535" s="75"/>
      <c r="T535" s="75"/>
      <c r="U535" s="75"/>
      <c r="V535" s="77"/>
      <c r="W535" s="75"/>
      <c r="X535" s="75"/>
      <c r="Y535" s="75"/>
      <c r="Z535" s="78"/>
      <c r="AA535" s="78"/>
      <c r="AB535" s="75"/>
      <c r="AJ535" s="72"/>
    </row>
    <row r="536" spans="1:36" s="69" customFormat="1" x14ac:dyDescent="0.25">
      <c r="A536" s="75"/>
      <c r="B536" s="75"/>
      <c r="C536" s="76"/>
      <c r="D536" s="76"/>
      <c r="E536" s="75"/>
      <c r="F536" s="75"/>
      <c r="G536" s="75"/>
      <c r="H536" s="75"/>
      <c r="I536" s="75"/>
      <c r="J536" s="75"/>
      <c r="K536" s="75"/>
      <c r="L536" s="75"/>
      <c r="M536" s="75"/>
      <c r="N536" s="75"/>
      <c r="O536" s="75"/>
      <c r="P536" s="75"/>
      <c r="Q536" s="75"/>
      <c r="R536" s="75"/>
      <c r="S536" s="75"/>
      <c r="T536" s="75"/>
      <c r="U536" s="75"/>
      <c r="V536" s="77"/>
      <c r="W536" s="75"/>
      <c r="X536" s="75"/>
      <c r="Y536" s="75"/>
      <c r="Z536" s="78"/>
      <c r="AA536" s="78"/>
      <c r="AB536" s="75"/>
      <c r="AJ536" s="72"/>
    </row>
    <row r="537" spans="1:36" s="69" customFormat="1" x14ac:dyDescent="0.25">
      <c r="A537" s="75"/>
      <c r="B537" s="75"/>
      <c r="C537" s="76"/>
      <c r="D537" s="76"/>
      <c r="E537" s="75"/>
      <c r="F537" s="75"/>
      <c r="G537" s="75"/>
      <c r="H537" s="75"/>
      <c r="I537" s="75"/>
      <c r="J537" s="75"/>
      <c r="K537" s="75"/>
      <c r="L537" s="75"/>
      <c r="M537" s="75"/>
      <c r="N537" s="75"/>
      <c r="O537" s="75"/>
      <c r="P537" s="75"/>
      <c r="Q537" s="75"/>
      <c r="R537" s="75"/>
      <c r="S537" s="75"/>
      <c r="T537" s="75"/>
      <c r="U537" s="75"/>
      <c r="V537" s="77"/>
      <c r="W537" s="75"/>
      <c r="X537" s="75"/>
      <c r="Y537" s="75"/>
      <c r="Z537" s="78"/>
      <c r="AA537" s="78"/>
      <c r="AB537" s="75"/>
      <c r="AJ537" s="72"/>
    </row>
    <row r="538" spans="1:36" s="69" customFormat="1" x14ac:dyDescent="0.25">
      <c r="A538" s="75"/>
      <c r="B538" s="75"/>
      <c r="C538" s="76"/>
      <c r="D538" s="76"/>
      <c r="E538" s="75"/>
      <c r="F538" s="75"/>
      <c r="G538" s="75"/>
      <c r="H538" s="75"/>
      <c r="I538" s="75"/>
      <c r="J538" s="75"/>
      <c r="K538" s="75"/>
      <c r="L538" s="75"/>
      <c r="M538" s="75"/>
      <c r="N538" s="75"/>
      <c r="O538" s="75"/>
      <c r="P538" s="75"/>
      <c r="Q538" s="75"/>
      <c r="R538" s="75"/>
      <c r="S538" s="75"/>
      <c r="T538" s="75"/>
      <c r="U538" s="75"/>
      <c r="V538" s="77"/>
      <c r="W538" s="75"/>
      <c r="X538" s="75"/>
      <c r="Y538" s="75"/>
      <c r="Z538" s="78"/>
      <c r="AA538" s="78"/>
      <c r="AB538" s="75"/>
      <c r="AJ538" s="72"/>
    </row>
    <row r="539" spans="1:36" s="69" customFormat="1" x14ac:dyDescent="0.25">
      <c r="A539" s="75"/>
      <c r="B539" s="75"/>
      <c r="C539" s="76"/>
      <c r="D539" s="76"/>
      <c r="E539" s="75"/>
      <c r="F539" s="75"/>
      <c r="G539" s="75"/>
      <c r="H539" s="75"/>
      <c r="I539" s="75"/>
      <c r="J539" s="75"/>
      <c r="K539" s="75"/>
      <c r="L539" s="75"/>
      <c r="M539" s="75"/>
      <c r="N539" s="75"/>
      <c r="O539" s="75"/>
      <c r="P539" s="75"/>
      <c r="Q539" s="75"/>
      <c r="R539" s="75"/>
      <c r="S539" s="75"/>
      <c r="T539" s="75"/>
      <c r="U539" s="75"/>
      <c r="V539" s="77"/>
      <c r="W539" s="75"/>
      <c r="X539" s="75"/>
      <c r="Y539" s="75"/>
      <c r="Z539" s="78"/>
      <c r="AA539" s="78"/>
      <c r="AB539" s="75"/>
      <c r="AJ539" s="72"/>
    </row>
    <row r="540" spans="1:36" s="69" customFormat="1" x14ac:dyDescent="0.25">
      <c r="A540" s="75"/>
      <c r="B540" s="75"/>
      <c r="C540" s="76"/>
      <c r="D540" s="76"/>
      <c r="E540" s="75"/>
      <c r="F540" s="75"/>
      <c r="G540" s="75"/>
      <c r="H540" s="75"/>
      <c r="I540" s="75"/>
      <c r="J540" s="75"/>
      <c r="K540" s="75"/>
      <c r="L540" s="75"/>
      <c r="M540" s="75"/>
      <c r="N540" s="75"/>
      <c r="O540" s="75"/>
      <c r="P540" s="75"/>
      <c r="Q540" s="75"/>
      <c r="R540" s="75"/>
      <c r="S540" s="75"/>
      <c r="T540" s="75"/>
      <c r="U540" s="75"/>
      <c r="V540" s="77"/>
      <c r="W540" s="75"/>
      <c r="X540" s="75"/>
      <c r="Y540" s="75"/>
      <c r="Z540" s="78"/>
      <c r="AA540" s="78"/>
      <c r="AB540" s="75"/>
      <c r="AJ540" s="72"/>
    </row>
    <row r="541" spans="1:36" s="69" customFormat="1" x14ac:dyDescent="0.25">
      <c r="A541" s="75"/>
      <c r="B541" s="75"/>
      <c r="C541" s="76"/>
      <c r="D541" s="76"/>
      <c r="E541" s="75"/>
      <c r="F541" s="75"/>
      <c r="G541" s="75"/>
      <c r="H541" s="75"/>
      <c r="I541" s="75"/>
      <c r="J541" s="75"/>
      <c r="K541" s="75"/>
      <c r="L541" s="75"/>
      <c r="M541" s="75"/>
      <c r="N541" s="75"/>
      <c r="O541" s="75"/>
      <c r="P541" s="75"/>
      <c r="Q541" s="75"/>
      <c r="R541" s="75"/>
      <c r="S541" s="75"/>
      <c r="T541" s="75"/>
      <c r="U541" s="75"/>
      <c r="V541" s="77"/>
      <c r="W541" s="75"/>
      <c r="X541" s="75"/>
      <c r="Y541" s="75"/>
      <c r="Z541" s="78"/>
      <c r="AA541" s="78"/>
      <c r="AB541" s="75"/>
      <c r="AJ541" s="72"/>
    </row>
    <row r="542" spans="1:36" s="69" customFormat="1" x14ac:dyDescent="0.25">
      <c r="A542" s="75"/>
      <c r="B542" s="75"/>
      <c r="C542" s="76"/>
      <c r="D542" s="76"/>
      <c r="E542" s="75"/>
      <c r="F542" s="75"/>
      <c r="G542" s="75"/>
      <c r="H542" s="75"/>
      <c r="I542" s="75"/>
      <c r="J542" s="75"/>
      <c r="K542" s="75"/>
      <c r="L542" s="75"/>
      <c r="M542" s="75"/>
      <c r="N542" s="75"/>
      <c r="O542" s="75"/>
      <c r="P542" s="75"/>
      <c r="Q542" s="75"/>
      <c r="R542" s="75"/>
      <c r="S542" s="75"/>
      <c r="T542" s="75"/>
      <c r="U542" s="75"/>
      <c r="V542" s="77"/>
      <c r="W542" s="75"/>
      <c r="X542" s="75"/>
      <c r="Y542" s="75"/>
      <c r="Z542" s="78"/>
      <c r="AA542" s="78"/>
      <c r="AB542" s="75"/>
      <c r="AJ542" s="72"/>
    </row>
    <row r="543" spans="1:36" s="69" customFormat="1" x14ac:dyDescent="0.25">
      <c r="A543" s="75"/>
      <c r="B543" s="75"/>
      <c r="C543" s="76"/>
      <c r="D543" s="76"/>
      <c r="E543" s="75"/>
      <c r="F543" s="75"/>
      <c r="G543" s="75"/>
      <c r="H543" s="75"/>
      <c r="I543" s="75"/>
      <c r="J543" s="75"/>
      <c r="K543" s="75"/>
      <c r="L543" s="75"/>
      <c r="M543" s="75"/>
      <c r="N543" s="75"/>
      <c r="O543" s="75"/>
      <c r="P543" s="75"/>
      <c r="Q543" s="75"/>
      <c r="R543" s="75"/>
      <c r="S543" s="75"/>
      <c r="T543" s="75"/>
      <c r="U543" s="75"/>
      <c r="V543" s="77"/>
      <c r="W543" s="75"/>
      <c r="X543" s="75"/>
      <c r="Y543" s="75"/>
      <c r="Z543" s="78"/>
      <c r="AA543" s="78"/>
      <c r="AB543" s="75"/>
      <c r="AJ543" s="72"/>
    </row>
    <row r="544" spans="1:36" s="69" customFormat="1" x14ac:dyDescent="0.25">
      <c r="A544" s="75"/>
      <c r="B544" s="75"/>
      <c r="C544" s="76"/>
      <c r="D544" s="76"/>
      <c r="E544" s="75"/>
      <c r="F544" s="75"/>
      <c r="G544" s="75"/>
      <c r="H544" s="75"/>
      <c r="I544" s="75"/>
      <c r="J544" s="75"/>
      <c r="K544" s="75"/>
      <c r="L544" s="75"/>
      <c r="M544" s="75"/>
      <c r="N544" s="75"/>
      <c r="O544" s="75"/>
      <c r="P544" s="75"/>
      <c r="Q544" s="75"/>
      <c r="R544" s="75"/>
      <c r="S544" s="75"/>
      <c r="T544" s="75"/>
      <c r="U544" s="75"/>
      <c r="V544" s="77"/>
      <c r="W544" s="75"/>
      <c r="X544" s="75"/>
      <c r="Y544" s="75"/>
      <c r="Z544" s="78"/>
      <c r="AA544" s="78"/>
      <c r="AB544" s="75"/>
      <c r="AJ544" s="72"/>
    </row>
    <row r="545" spans="1:36" s="69" customFormat="1" x14ac:dyDescent="0.25">
      <c r="A545" s="75"/>
      <c r="B545" s="75"/>
      <c r="C545" s="76"/>
      <c r="D545" s="76"/>
      <c r="E545" s="75"/>
      <c r="F545" s="75"/>
      <c r="G545" s="75"/>
      <c r="H545" s="75"/>
      <c r="I545" s="75"/>
      <c r="J545" s="75"/>
      <c r="K545" s="75"/>
      <c r="L545" s="75"/>
      <c r="M545" s="75"/>
      <c r="N545" s="75"/>
      <c r="O545" s="75"/>
      <c r="P545" s="75"/>
      <c r="Q545" s="75"/>
      <c r="R545" s="75"/>
      <c r="S545" s="75"/>
      <c r="T545" s="75"/>
      <c r="U545" s="75"/>
      <c r="V545" s="77"/>
      <c r="W545" s="75"/>
      <c r="X545" s="75"/>
      <c r="Y545" s="75"/>
      <c r="Z545" s="78"/>
      <c r="AA545" s="78"/>
      <c r="AB545" s="75"/>
      <c r="AJ545" s="72"/>
    </row>
    <row r="546" spans="1:36" s="69" customFormat="1" x14ac:dyDescent="0.25">
      <c r="A546" s="75"/>
      <c r="B546" s="75"/>
      <c r="C546" s="76"/>
      <c r="D546" s="76"/>
      <c r="E546" s="75"/>
      <c r="F546" s="75"/>
      <c r="G546" s="75"/>
      <c r="H546" s="75"/>
      <c r="I546" s="75"/>
      <c r="J546" s="75"/>
      <c r="K546" s="75"/>
      <c r="L546" s="75"/>
      <c r="M546" s="75"/>
      <c r="N546" s="75"/>
      <c r="O546" s="75"/>
      <c r="P546" s="75"/>
      <c r="Q546" s="75"/>
      <c r="R546" s="75"/>
      <c r="S546" s="75"/>
      <c r="T546" s="75"/>
      <c r="U546" s="75"/>
      <c r="V546" s="77"/>
      <c r="W546" s="75"/>
      <c r="X546" s="75"/>
      <c r="Y546" s="75"/>
      <c r="Z546" s="78"/>
      <c r="AA546" s="78"/>
      <c r="AB546" s="75"/>
      <c r="AJ546" s="72"/>
    </row>
    <row r="547" spans="1:36" s="69" customFormat="1" x14ac:dyDescent="0.25">
      <c r="A547" s="75"/>
      <c r="B547" s="75"/>
      <c r="C547" s="76"/>
      <c r="D547" s="76"/>
      <c r="E547" s="75"/>
      <c r="F547" s="75"/>
      <c r="G547" s="75"/>
      <c r="H547" s="75"/>
      <c r="I547" s="75"/>
      <c r="J547" s="75"/>
      <c r="K547" s="75"/>
      <c r="L547" s="75"/>
      <c r="M547" s="75"/>
      <c r="N547" s="75"/>
      <c r="O547" s="75"/>
      <c r="P547" s="75"/>
      <c r="Q547" s="75"/>
      <c r="R547" s="75"/>
      <c r="S547" s="75"/>
      <c r="T547" s="75"/>
      <c r="U547" s="75"/>
      <c r="V547" s="77"/>
      <c r="W547" s="75"/>
      <c r="X547" s="75"/>
      <c r="Y547" s="75"/>
      <c r="Z547" s="78"/>
      <c r="AA547" s="78"/>
      <c r="AB547" s="75"/>
      <c r="AJ547" s="72"/>
    </row>
    <row r="548" spans="1:36" s="69" customFormat="1" x14ac:dyDescent="0.25">
      <c r="A548" s="75"/>
      <c r="B548" s="75"/>
      <c r="C548" s="76"/>
      <c r="D548" s="76"/>
      <c r="E548" s="75"/>
      <c r="F548" s="75"/>
      <c r="G548" s="75"/>
      <c r="H548" s="75"/>
      <c r="I548" s="75"/>
      <c r="J548" s="75"/>
      <c r="K548" s="75"/>
      <c r="L548" s="75"/>
      <c r="M548" s="75"/>
      <c r="N548" s="75"/>
      <c r="O548" s="75"/>
      <c r="P548" s="75"/>
      <c r="Q548" s="75"/>
      <c r="R548" s="75"/>
      <c r="S548" s="75"/>
      <c r="T548" s="75"/>
      <c r="U548" s="75"/>
      <c r="V548" s="77"/>
      <c r="W548" s="75"/>
      <c r="X548" s="75"/>
      <c r="Y548" s="75"/>
      <c r="Z548" s="78"/>
      <c r="AA548" s="78"/>
      <c r="AB548" s="75"/>
      <c r="AJ548" s="72"/>
    </row>
    <row r="549" spans="1:36" s="69" customFormat="1" x14ac:dyDescent="0.25">
      <c r="A549" s="75"/>
      <c r="B549" s="75"/>
      <c r="C549" s="76"/>
      <c r="D549" s="76"/>
      <c r="E549" s="75"/>
      <c r="F549" s="75"/>
      <c r="G549" s="75"/>
      <c r="H549" s="75"/>
      <c r="I549" s="75"/>
      <c r="J549" s="75"/>
      <c r="K549" s="75"/>
      <c r="L549" s="75"/>
      <c r="M549" s="75"/>
      <c r="N549" s="75"/>
      <c r="O549" s="75"/>
      <c r="P549" s="75"/>
      <c r="Q549" s="75"/>
      <c r="R549" s="75"/>
      <c r="S549" s="75"/>
      <c r="T549" s="75"/>
      <c r="U549" s="75"/>
      <c r="V549" s="77"/>
      <c r="W549" s="75"/>
      <c r="X549" s="75"/>
      <c r="Y549" s="75"/>
      <c r="Z549" s="78"/>
      <c r="AA549" s="78"/>
      <c r="AB549" s="75"/>
      <c r="AJ549" s="72"/>
    </row>
    <row r="550" spans="1:36" s="69" customFormat="1" x14ac:dyDescent="0.25">
      <c r="A550" s="75"/>
      <c r="B550" s="75"/>
      <c r="C550" s="76"/>
      <c r="D550" s="76"/>
      <c r="E550" s="75"/>
      <c r="F550" s="75"/>
      <c r="G550" s="75"/>
      <c r="H550" s="75"/>
      <c r="I550" s="75"/>
      <c r="J550" s="75"/>
      <c r="K550" s="75"/>
      <c r="L550" s="75"/>
      <c r="M550" s="75"/>
      <c r="N550" s="75"/>
      <c r="O550" s="75"/>
      <c r="P550" s="75"/>
      <c r="Q550" s="75"/>
      <c r="R550" s="75"/>
      <c r="S550" s="75"/>
      <c r="T550" s="75"/>
      <c r="U550" s="75"/>
      <c r="V550" s="77"/>
      <c r="W550" s="75"/>
      <c r="X550" s="75"/>
      <c r="Y550" s="75"/>
      <c r="Z550" s="78"/>
      <c r="AA550" s="78"/>
      <c r="AB550" s="75"/>
      <c r="AJ550" s="72"/>
    </row>
    <row r="551" spans="1:36" s="69" customFormat="1" x14ac:dyDescent="0.25">
      <c r="A551" s="75"/>
      <c r="B551" s="75"/>
      <c r="C551" s="76"/>
      <c r="D551" s="76"/>
      <c r="E551" s="75"/>
      <c r="F551" s="75"/>
      <c r="G551" s="75"/>
      <c r="H551" s="75"/>
      <c r="I551" s="75"/>
      <c r="J551" s="75"/>
      <c r="K551" s="75"/>
      <c r="L551" s="75"/>
      <c r="M551" s="75"/>
      <c r="N551" s="75"/>
      <c r="O551" s="75"/>
      <c r="P551" s="75"/>
      <c r="Q551" s="75"/>
      <c r="R551" s="75"/>
      <c r="S551" s="75"/>
      <c r="T551" s="75"/>
      <c r="U551" s="75"/>
      <c r="V551" s="77"/>
      <c r="W551" s="75"/>
      <c r="X551" s="75"/>
      <c r="Y551" s="75"/>
      <c r="Z551" s="78"/>
      <c r="AA551" s="78"/>
      <c r="AB551" s="75"/>
      <c r="AJ551" s="72"/>
    </row>
    <row r="552" spans="1:36" s="69" customFormat="1" x14ac:dyDescent="0.25">
      <c r="A552" s="75"/>
      <c r="B552" s="75"/>
      <c r="C552" s="76"/>
      <c r="D552" s="76"/>
      <c r="E552" s="75"/>
      <c r="F552" s="75"/>
      <c r="G552" s="75"/>
      <c r="H552" s="75"/>
      <c r="I552" s="75"/>
      <c r="J552" s="75"/>
      <c r="K552" s="75"/>
      <c r="L552" s="75"/>
      <c r="M552" s="75"/>
      <c r="N552" s="75"/>
      <c r="O552" s="75"/>
      <c r="P552" s="75"/>
      <c r="Q552" s="75"/>
      <c r="R552" s="75"/>
      <c r="S552" s="75"/>
      <c r="T552" s="75"/>
      <c r="U552" s="75"/>
      <c r="V552" s="77"/>
      <c r="W552" s="75"/>
      <c r="X552" s="75"/>
      <c r="Y552" s="75"/>
      <c r="Z552" s="78"/>
      <c r="AA552" s="78"/>
      <c r="AB552" s="75"/>
      <c r="AJ552" s="72"/>
    </row>
    <row r="553" spans="1:36" s="69" customFormat="1" x14ac:dyDescent="0.25">
      <c r="A553" s="75"/>
      <c r="B553" s="75"/>
      <c r="C553" s="76"/>
      <c r="D553" s="76"/>
      <c r="E553" s="75"/>
      <c r="F553" s="75"/>
      <c r="G553" s="75"/>
      <c r="H553" s="75"/>
      <c r="I553" s="75"/>
      <c r="J553" s="75"/>
      <c r="K553" s="75"/>
      <c r="L553" s="75"/>
      <c r="M553" s="75"/>
      <c r="N553" s="75"/>
      <c r="O553" s="75"/>
      <c r="P553" s="75"/>
      <c r="Q553" s="75"/>
      <c r="R553" s="75"/>
      <c r="S553" s="75"/>
      <c r="T553" s="75"/>
      <c r="U553" s="75"/>
      <c r="V553" s="77"/>
      <c r="W553" s="75"/>
      <c r="X553" s="75"/>
      <c r="Y553" s="75"/>
      <c r="Z553" s="78"/>
      <c r="AA553" s="78"/>
      <c r="AB553" s="75"/>
      <c r="AJ553" s="72"/>
    </row>
    <row r="554" spans="1:36" s="69" customFormat="1" x14ac:dyDescent="0.25">
      <c r="A554" s="75"/>
      <c r="B554" s="75"/>
      <c r="C554" s="76"/>
      <c r="D554" s="76"/>
      <c r="E554" s="75"/>
      <c r="F554" s="75"/>
      <c r="G554" s="75"/>
      <c r="H554" s="75"/>
      <c r="I554" s="75"/>
      <c r="J554" s="75"/>
      <c r="K554" s="75"/>
      <c r="L554" s="75"/>
      <c r="M554" s="75"/>
      <c r="N554" s="75"/>
      <c r="O554" s="75"/>
      <c r="P554" s="75"/>
      <c r="Q554" s="75"/>
      <c r="R554" s="75"/>
      <c r="S554" s="75"/>
      <c r="T554" s="75"/>
      <c r="U554" s="75"/>
      <c r="V554" s="77"/>
      <c r="W554" s="75"/>
      <c r="X554" s="75"/>
      <c r="Y554" s="75"/>
      <c r="Z554" s="78"/>
      <c r="AA554" s="78"/>
      <c r="AB554" s="75"/>
      <c r="AJ554" s="72"/>
    </row>
    <row r="555" spans="1:36" s="69" customFormat="1" x14ac:dyDescent="0.25">
      <c r="A555" s="75"/>
      <c r="B555" s="75"/>
      <c r="C555" s="76"/>
      <c r="D555" s="76"/>
      <c r="E555" s="75"/>
      <c r="F555" s="75"/>
      <c r="G555" s="75"/>
      <c r="H555" s="75"/>
      <c r="I555" s="75"/>
      <c r="J555" s="75"/>
      <c r="K555" s="75"/>
      <c r="L555" s="75"/>
      <c r="M555" s="75"/>
      <c r="N555" s="75"/>
      <c r="O555" s="75"/>
      <c r="P555" s="75"/>
      <c r="Q555" s="75"/>
      <c r="R555" s="75"/>
      <c r="S555" s="75"/>
      <c r="T555" s="75"/>
      <c r="U555" s="75"/>
      <c r="V555" s="77"/>
      <c r="W555" s="75"/>
      <c r="X555" s="75"/>
      <c r="Y555" s="75"/>
      <c r="Z555" s="78"/>
      <c r="AA555" s="78"/>
      <c r="AB555" s="75"/>
      <c r="AJ555" s="72"/>
    </row>
    <row r="556" spans="1:36" s="69" customFormat="1" x14ac:dyDescent="0.25">
      <c r="A556" s="75"/>
      <c r="B556" s="75"/>
      <c r="C556" s="76"/>
      <c r="D556" s="76"/>
      <c r="E556" s="75"/>
      <c r="F556" s="75"/>
      <c r="G556" s="75"/>
      <c r="H556" s="75"/>
      <c r="I556" s="75"/>
      <c r="J556" s="75"/>
      <c r="K556" s="75"/>
      <c r="L556" s="75"/>
      <c r="M556" s="75"/>
      <c r="N556" s="75"/>
      <c r="O556" s="75"/>
      <c r="P556" s="75"/>
      <c r="Q556" s="75"/>
      <c r="R556" s="75"/>
      <c r="S556" s="75"/>
      <c r="T556" s="75"/>
      <c r="U556" s="75"/>
      <c r="V556" s="77"/>
      <c r="W556" s="75"/>
      <c r="X556" s="75"/>
      <c r="Y556" s="75"/>
      <c r="Z556" s="78"/>
      <c r="AA556" s="78"/>
      <c r="AB556" s="75"/>
      <c r="AJ556" s="72"/>
    </row>
    <row r="557" spans="1:36" s="69" customFormat="1" x14ac:dyDescent="0.25">
      <c r="A557" s="75"/>
      <c r="B557" s="75"/>
      <c r="C557" s="76"/>
      <c r="D557" s="76"/>
      <c r="E557" s="75"/>
      <c r="F557" s="75"/>
      <c r="G557" s="75"/>
      <c r="H557" s="75"/>
      <c r="I557" s="75"/>
      <c r="J557" s="75"/>
      <c r="K557" s="75"/>
      <c r="L557" s="75"/>
      <c r="M557" s="75"/>
      <c r="N557" s="75"/>
      <c r="O557" s="75"/>
      <c r="P557" s="75"/>
      <c r="Q557" s="75"/>
      <c r="R557" s="75"/>
      <c r="S557" s="75"/>
      <c r="T557" s="75"/>
      <c r="U557" s="75"/>
      <c r="V557" s="77"/>
      <c r="W557" s="75"/>
      <c r="X557" s="75"/>
      <c r="Y557" s="75"/>
      <c r="Z557" s="78"/>
      <c r="AA557" s="78"/>
      <c r="AB557" s="75"/>
      <c r="AJ557" s="72"/>
    </row>
    <row r="558" spans="1:36" s="69" customFormat="1" x14ac:dyDescent="0.25">
      <c r="A558" s="75"/>
      <c r="B558" s="75"/>
      <c r="C558" s="76"/>
      <c r="D558" s="76"/>
      <c r="E558" s="75"/>
      <c r="F558" s="75"/>
      <c r="G558" s="75"/>
      <c r="H558" s="75"/>
      <c r="I558" s="75"/>
      <c r="J558" s="75"/>
      <c r="K558" s="75"/>
      <c r="L558" s="75"/>
      <c r="M558" s="75"/>
      <c r="N558" s="75"/>
      <c r="O558" s="75"/>
      <c r="P558" s="75"/>
      <c r="Q558" s="75"/>
      <c r="R558" s="75"/>
      <c r="S558" s="75"/>
      <c r="T558" s="75"/>
      <c r="U558" s="75"/>
      <c r="V558" s="77"/>
      <c r="W558" s="75"/>
      <c r="X558" s="75"/>
      <c r="Y558" s="75"/>
      <c r="Z558" s="78"/>
      <c r="AA558" s="78"/>
      <c r="AB558" s="75"/>
      <c r="AJ558" s="72"/>
    </row>
    <row r="559" spans="1:36" s="69" customFormat="1" x14ac:dyDescent="0.25">
      <c r="A559" s="75"/>
      <c r="B559" s="75"/>
      <c r="C559" s="76"/>
      <c r="D559" s="76"/>
      <c r="E559" s="75"/>
      <c r="F559" s="75"/>
      <c r="G559" s="75"/>
      <c r="H559" s="75"/>
      <c r="I559" s="75"/>
      <c r="J559" s="75"/>
      <c r="K559" s="75"/>
      <c r="L559" s="75"/>
      <c r="M559" s="75"/>
      <c r="N559" s="75"/>
      <c r="O559" s="75"/>
      <c r="P559" s="75"/>
      <c r="Q559" s="75"/>
      <c r="R559" s="75"/>
      <c r="S559" s="75"/>
      <c r="T559" s="75"/>
      <c r="U559" s="75"/>
      <c r="V559" s="77"/>
      <c r="W559" s="75"/>
      <c r="X559" s="75"/>
      <c r="Y559" s="75"/>
      <c r="Z559" s="78"/>
      <c r="AA559" s="78"/>
      <c r="AB559" s="75"/>
      <c r="AJ559" s="72"/>
    </row>
    <row r="560" spans="1:36" s="69" customFormat="1" x14ac:dyDescent="0.25">
      <c r="A560" s="75"/>
      <c r="B560" s="75"/>
      <c r="C560" s="76"/>
      <c r="D560" s="76"/>
      <c r="E560" s="75"/>
      <c r="F560" s="75"/>
      <c r="G560" s="75"/>
      <c r="H560" s="75"/>
      <c r="I560" s="75"/>
      <c r="J560" s="75"/>
      <c r="K560" s="75"/>
      <c r="L560" s="75"/>
      <c r="M560" s="75"/>
      <c r="N560" s="75"/>
      <c r="O560" s="75"/>
      <c r="P560" s="75"/>
      <c r="Q560" s="75"/>
      <c r="R560" s="75"/>
      <c r="S560" s="75"/>
      <c r="T560" s="75"/>
      <c r="U560" s="75"/>
      <c r="V560" s="77"/>
      <c r="W560" s="75"/>
      <c r="X560" s="75"/>
      <c r="Y560" s="75"/>
      <c r="Z560" s="78"/>
      <c r="AA560" s="78"/>
      <c r="AB560" s="75"/>
      <c r="AJ560" s="72"/>
    </row>
    <row r="561" spans="1:36" s="69" customFormat="1" x14ac:dyDescent="0.25">
      <c r="A561" s="75"/>
      <c r="B561" s="75"/>
      <c r="C561" s="76"/>
      <c r="D561" s="76"/>
      <c r="E561" s="75"/>
      <c r="F561" s="75"/>
      <c r="G561" s="75"/>
      <c r="H561" s="75"/>
      <c r="I561" s="75"/>
      <c r="J561" s="75"/>
      <c r="K561" s="75"/>
      <c r="L561" s="75"/>
      <c r="M561" s="75"/>
      <c r="N561" s="75"/>
      <c r="O561" s="75"/>
      <c r="P561" s="75"/>
      <c r="Q561" s="75"/>
      <c r="R561" s="75"/>
      <c r="S561" s="75"/>
      <c r="T561" s="75"/>
      <c r="U561" s="75"/>
      <c r="V561" s="77"/>
      <c r="W561" s="75"/>
      <c r="X561" s="75"/>
      <c r="Y561" s="75"/>
      <c r="Z561" s="78"/>
      <c r="AA561" s="78"/>
      <c r="AB561" s="75"/>
      <c r="AJ561" s="72"/>
    </row>
    <row r="562" spans="1:36" s="69" customFormat="1" x14ac:dyDescent="0.25">
      <c r="A562" s="75"/>
      <c r="B562" s="75"/>
      <c r="C562" s="76"/>
      <c r="D562" s="76"/>
      <c r="E562" s="75"/>
      <c r="F562" s="75"/>
      <c r="G562" s="75"/>
      <c r="H562" s="75"/>
      <c r="I562" s="75"/>
      <c r="J562" s="75"/>
      <c r="K562" s="75"/>
      <c r="L562" s="75"/>
      <c r="M562" s="75"/>
      <c r="N562" s="75"/>
      <c r="O562" s="75"/>
      <c r="P562" s="75"/>
      <c r="Q562" s="75"/>
      <c r="R562" s="75"/>
      <c r="S562" s="75"/>
      <c r="T562" s="75"/>
      <c r="U562" s="75"/>
      <c r="V562" s="77"/>
      <c r="W562" s="75"/>
      <c r="X562" s="75"/>
      <c r="Y562" s="75"/>
      <c r="Z562" s="78"/>
      <c r="AA562" s="78"/>
      <c r="AB562" s="75"/>
      <c r="AJ562" s="72"/>
    </row>
    <row r="563" spans="1:36" s="69" customFormat="1" x14ac:dyDescent="0.25">
      <c r="A563" s="75"/>
      <c r="B563" s="75"/>
      <c r="C563" s="76"/>
      <c r="D563" s="76"/>
      <c r="E563" s="75"/>
      <c r="F563" s="75"/>
      <c r="G563" s="75"/>
      <c r="H563" s="75"/>
      <c r="I563" s="75"/>
      <c r="J563" s="75"/>
      <c r="K563" s="75"/>
      <c r="L563" s="75"/>
      <c r="M563" s="75"/>
      <c r="N563" s="75"/>
      <c r="O563" s="75"/>
      <c r="P563" s="75"/>
      <c r="Q563" s="75"/>
      <c r="R563" s="75"/>
      <c r="S563" s="75"/>
      <c r="T563" s="75"/>
      <c r="U563" s="75"/>
      <c r="V563" s="77"/>
      <c r="W563" s="75"/>
      <c r="X563" s="75"/>
      <c r="Y563" s="75"/>
      <c r="Z563" s="78"/>
      <c r="AA563" s="78"/>
      <c r="AB563" s="75"/>
      <c r="AJ563" s="72"/>
    </row>
    <row r="564" spans="1:36" s="69" customFormat="1" x14ac:dyDescent="0.25">
      <c r="A564" s="75"/>
      <c r="B564" s="75"/>
      <c r="C564" s="76"/>
      <c r="D564" s="76"/>
      <c r="E564" s="75"/>
      <c r="F564" s="75"/>
      <c r="G564" s="75"/>
      <c r="H564" s="75"/>
      <c r="I564" s="75"/>
      <c r="J564" s="75"/>
      <c r="K564" s="75"/>
      <c r="L564" s="75"/>
      <c r="M564" s="75"/>
      <c r="N564" s="75"/>
      <c r="O564" s="75"/>
      <c r="P564" s="75"/>
      <c r="Q564" s="75"/>
      <c r="R564" s="75"/>
      <c r="S564" s="75"/>
      <c r="T564" s="75"/>
      <c r="U564" s="75"/>
      <c r="V564" s="77"/>
      <c r="W564" s="75"/>
      <c r="X564" s="75"/>
      <c r="Y564" s="75"/>
      <c r="Z564" s="78"/>
      <c r="AA564" s="78"/>
      <c r="AB564" s="75"/>
      <c r="AJ564" s="72"/>
    </row>
    <row r="565" spans="1:36" s="69" customFormat="1" x14ac:dyDescent="0.25">
      <c r="A565" s="75"/>
      <c r="B565" s="75"/>
      <c r="C565" s="76"/>
      <c r="D565" s="76"/>
      <c r="E565" s="75"/>
      <c r="F565" s="75"/>
      <c r="G565" s="75"/>
      <c r="H565" s="75"/>
      <c r="I565" s="75"/>
      <c r="J565" s="75"/>
      <c r="K565" s="75"/>
      <c r="L565" s="75"/>
      <c r="M565" s="75"/>
      <c r="N565" s="75"/>
      <c r="O565" s="75"/>
      <c r="P565" s="75"/>
      <c r="Q565" s="75"/>
      <c r="R565" s="75"/>
      <c r="S565" s="75"/>
      <c r="T565" s="75"/>
      <c r="U565" s="75"/>
      <c r="V565" s="77"/>
      <c r="W565" s="75"/>
      <c r="X565" s="75"/>
      <c r="Y565" s="75"/>
      <c r="Z565" s="78"/>
      <c r="AA565" s="78"/>
      <c r="AB565" s="75"/>
      <c r="AJ565" s="72"/>
    </row>
    <row r="566" spans="1:36" s="69" customFormat="1" x14ac:dyDescent="0.25">
      <c r="A566" s="75"/>
      <c r="B566" s="75"/>
      <c r="C566" s="76"/>
      <c r="D566" s="76"/>
      <c r="E566" s="75"/>
      <c r="F566" s="75"/>
      <c r="G566" s="75"/>
      <c r="H566" s="75"/>
      <c r="I566" s="75"/>
      <c r="J566" s="75"/>
      <c r="K566" s="75"/>
      <c r="L566" s="75"/>
      <c r="M566" s="75"/>
      <c r="N566" s="75"/>
      <c r="O566" s="75"/>
      <c r="P566" s="75"/>
      <c r="Q566" s="75"/>
      <c r="R566" s="75"/>
      <c r="S566" s="75"/>
      <c r="T566" s="75"/>
      <c r="U566" s="75"/>
      <c r="V566" s="77"/>
      <c r="W566" s="75"/>
      <c r="X566" s="75"/>
      <c r="Y566" s="75"/>
      <c r="Z566" s="78"/>
      <c r="AA566" s="78"/>
      <c r="AB566" s="75"/>
      <c r="AJ566" s="72"/>
    </row>
    <row r="567" spans="1:36" s="69" customFormat="1" x14ac:dyDescent="0.25">
      <c r="A567" s="75"/>
      <c r="B567" s="75"/>
      <c r="C567" s="76"/>
      <c r="D567" s="76"/>
      <c r="E567" s="75"/>
      <c r="F567" s="75"/>
      <c r="G567" s="75"/>
      <c r="H567" s="75"/>
      <c r="I567" s="75"/>
      <c r="J567" s="75"/>
      <c r="K567" s="75"/>
      <c r="L567" s="75"/>
      <c r="M567" s="75"/>
      <c r="N567" s="75"/>
      <c r="O567" s="75"/>
      <c r="P567" s="75"/>
      <c r="Q567" s="75"/>
      <c r="R567" s="75"/>
      <c r="S567" s="75"/>
      <c r="T567" s="75"/>
      <c r="U567" s="75"/>
      <c r="V567" s="77"/>
      <c r="W567" s="75"/>
      <c r="X567" s="75"/>
      <c r="Y567" s="75"/>
      <c r="Z567" s="78"/>
      <c r="AA567" s="78"/>
      <c r="AB567" s="75"/>
      <c r="AJ567" s="72"/>
    </row>
    <row r="568" spans="1:36" s="69" customFormat="1" x14ac:dyDescent="0.25">
      <c r="A568" s="75"/>
      <c r="B568" s="75"/>
      <c r="C568" s="76"/>
      <c r="D568" s="76"/>
      <c r="E568" s="75"/>
      <c r="F568" s="75"/>
      <c r="G568" s="75"/>
      <c r="H568" s="75"/>
      <c r="I568" s="75"/>
      <c r="J568" s="75"/>
      <c r="K568" s="75"/>
      <c r="L568" s="75"/>
      <c r="M568" s="75"/>
      <c r="N568" s="75"/>
      <c r="O568" s="75"/>
      <c r="P568" s="75"/>
      <c r="Q568" s="75"/>
      <c r="R568" s="75"/>
      <c r="S568" s="75"/>
      <c r="T568" s="75"/>
      <c r="U568" s="75"/>
      <c r="V568" s="77"/>
      <c r="W568" s="75"/>
      <c r="X568" s="75"/>
      <c r="Y568" s="75"/>
      <c r="Z568" s="78"/>
      <c r="AA568" s="78"/>
      <c r="AB568" s="75"/>
      <c r="AJ568" s="72"/>
    </row>
    <row r="569" spans="1:36" s="69" customFormat="1" x14ac:dyDescent="0.25">
      <c r="A569" s="75"/>
      <c r="B569" s="75"/>
      <c r="C569" s="76"/>
      <c r="D569" s="76"/>
      <c r="E569" s="75"/>
      <c r="F569" s="75"/>
      <c r="G569" s="75"/>
      <c r="H569" s="75"/>
      <c r="I569" s="75"/>
      <c r="J569" s="75"/>
      <c r="K569" s="75"/>
      <c r="L569" s="75"/>
      <c r="M569" s="75"/>
      <c r="N569" s="75"/>
      <c r="O569" s="75"/>
      <c r="P569" s="75"/>
      <c r="Q569" s="75"/>
      <c r="R569" s="75"/>
      <c r="S569" s="75"/>
      <c r="T569" s="75"/>
      <c r="U569" s="75"/>
      <c r="V569" s="77"/>
      <c r="W569" s="75"/>
      <c r="X569" s="75"/>
      <c r="Y569" s="75"/>
      <c r="Z569" s="78"/>
      <c r="AA569" s="78"/>
      <c r="AB569" s="75"/>
      <c r="AJ569" s="72"/>
    </row>
    <row r="570" spans="1:36" s="69" customFormat="1" x14ac:dyDescent="0.25">
      <c r="A570" s="75"/>
      <c r="B570" s="75"/>
      <c r="C570" s="76"/>
      <c r="D570" s="76"/>
      <c r="E570" s="75"/>
      <c r="F570" s="75"/>
      <c r="G570" s="75"/>
      <c r="H570" s="75"/>
      <c r="I570" s="75"/>
      <c r="J570" s="75"/>
      <c r="K570" s="75"/>
      <c r="L570" s="75"/>
      <c r="M570" s="75"/>
      <c r="N570" s="75"/>
      <c r="O570" s="75"/>
      <c r="P570" s="75"/>
      <c r="Q570" s="75"/>
      <c r="R570" s="75"/>
      <c r="S570" s="75"/>
      <c r="T570" s="75"/>
      <c r="U570" s="75"/>
      <c r="V570" s="77"/>
      <c r="W570" s="75"/>
      <c r="X570" s="75"/>
      <c r="Y570" s="75"/>
      <c r="Z570" s="78"/>
      <c r="AA570" s="78"/>
      <c r="AB570" s="75"/>
      <c r="AJ570" s="72"/>
    </row>
    <row r="571" spans="1:36" s="69" customFormat="1" x14ac:dyDescent="0.25">
      <c r="A571" s="75"/>
      <c r="B571" s="75"/>
      <c r="C571" s="76"/>
      <c r="D571" s="76"/>
      <c r="E571" s="75"/>
      <c r="F571" s="75"/>
      <c r="G571" s="75"/>
      <c r="H571" s="75"/>
      <c r="I571" s="75"/>
      <c r="J571" s="75"/>
      <c r="K571" s="75"/>
      <c r="L571" s="75"/>
      <c r="M571" s="75"/>
      <c r="N571" s="75"/>
      <c r="O571" s="75"/>
      <c r="P571" s="75"/>
      <c r="Q571" s="75"/>
      <c r="R571" s="75"/>
      <c r="S571" s="75"/>
      <c r="T571" s="75"/>
      <c r="U571" s="75"/>
      <c r="V571" s="77"/>
      <c r="W571" s="75"/>
      <c r="X571" s="75"/>
      <c r="Y571" s="75"/>
      <c r="Z571" s="78"/>
      <c r="AA571" s="78"/>
      <c r="AB571" s="75"/>
      <c r="AJ571" s="72"/>
    </row>
    <row r="572" spans="1:36" s="69" customFormat="1" x14ac:dyDescent="0.25">
      <c r="B572" s="75"/>
      <c r="C572" s="76"/>
      <c r="D572" s="76"/>
      <c r="E572" s="75"/>
      <c r="F572" s="75"/>
      <c r="G572" s="75"/>
      <c r="H572" s="75"/>
      <c r="I572" s="75"/>
      <c r="J572" s="75"/>
      <c r="K572" s="75"/>
      <c r="L572" s="75"/>
      <c r="M572" s="75"/>
      <c r="N572" s="75"/>
      <c r="O572" s="75"/>
      <c r="P572" s="75"/>
      <c r="Q572" s="75"/>
      <c r="R572" s="75"/>
      <c r="S572" s="75"/>
      <c r="T572" s="75"/>
      <c r="U572" s="75"/>
      <c r="V572" s="77"/>
      <c r="W572" s="75"/>
      <c r="X572" s="75"/>
      <c r="Y572" s="75"/>
      <c r="Z572" s="78"/>
      <c r="AA572" s="78"/>
      <c r="AB572" s="75"/>
      <c r="AJ572" s="72"/>
    </row>
    <row r="573" spans="1:36" s="69" customFormat="1" x14ac:dyDescent="0.25">
      <c r="B573" s="75"/>
      <c r="C573" s="76"/>
      <c r="D573" s="76"/>
      <c r="E573" s="75"/>
      <c r="F573" s="75"/>
      <c r="G573" s="75"/>
      <c r="H573" s="75"/>
      <c r="I573" s="75"/>
      <c r="J573" s="75"/>
      <c r="K573" s="75"/>
      <c r="L573" s="75"/>
      <c r="M573" s="75"/>
      <c r="N573" s="75"/>
      <c r="O573" s="75"/>
      <c r="P573" s="75"/>
      <c r="Q573" s="75"/>
      <c r="R573" s="75"/>
      <c r="S573" s="75"/>
      <c r="T573" s="75"/>
      <c r="U573" s="75"/>
      <c r="V573" s="77"/>
      <c r="W573" s="75"/>
      <c r="X573" s="75"/>
      <c r="Y573" s="75"/>
      <c r="Z573" s="78"/>
      <c r="AA573" s="78"/>
      <c r="AB573" s="75"/>
      <c r="AJ573" s="72"/>
    </row>
    <row r="574" spans="1:36" s="69" customFormat="1" x14ac:dyDescent="0.25">
      <c r="B574" s="75"/>
      <c r="C574" s="76"/>
      <c r="D574" s="76"/>
      <c r="E574" s="75"/>
      <c r="F574" s="75"/>
      <c r="G574" s="75"/>
      <c r="H574" s="75"/>
      <c r="I574" s="75"/>
      <c r="J574" s="75"/>
      <c r="K574" s="75"/>
      <c r="L574" s="75"/>
      <c r="M574" s="75"/>
      <c r="N574" s="75"/>
      <c r="O574" s="75"/>
      <c r="P574" s="75"/>
      <c r="Q574" s="75"/>
      <c r="R574" s="75"/>
      <c r="S574" s="75"/>
      <c r="T574" s="75"/>
      <c r="U574" s="75"/>
      <c r="V574" s="77"/>
      <c r="W574" s="75"/>
      <c r="X574" s="75"/>
      <c r="Y574" s="75"/>
      <c r="Z574" s="78"/>
      <c r="AA574" s="78"/>
      <c r="AB574" s="75"/>
      <c r="AJ574" s="72"/>
    </row>
    <row r="575" spans="1:36" s="69" customFormat="1" x14ac:dyDescent="0.25">
      <c r="B575" s="75"/>
      <c r="C575" s="76"/>
      <c r="D575" s="76"/>
      <c r="E575" s="75"/>
      <c r="F575" s="75"/>
      <c r="G575" s="75"/>
      <c r="H575" s="75"/>
      <c r="I575" s="75"/>
      <c r="J575" s="75"/>
      <c r="K575" s="75"/>
      <c r="L575" s="75"/>
      <c r="M575" s="75"/>
      <c r="N575" s="75"/>
      <c r="O575" s="75"/>
      <c r="P575" s="75"/>
      <c r="Q575" s="75"/>
      <c r="R575" s="75"/>
      <c r="S575" s="75"/>
      <c r="T575" s="75"/>
      <c r="U575" s="75"/>
      <c r="V575" s="77"/>
      <c r="W575" s="75"/>
      <c r="X575" s="75"/>
      <c r="Y575" s="75"/>
      <c r="Z575" s="78"/>
      <c r="AA575" s="78"/>
      <c r="AB575" s="75"/>
      <c r="AJ575" s="72"/>
    </row>
    <row r="576" spans="1:36" s="69" customFormat="1" x14ac:dyDescent="0.25">
      <c r="B576" s="75"/>
      <c r="C576" s="76"/>
      <c r="D576" s="76"/>
      <c r="E576" s="75"/>
      <c r="F576" s="75"/>
      <c r="G576" s="75"/>
      <c r="H576" s="75"/>
      <c r="I576" s="75"/>
      <c r="J576" s="75"/>
      <c r="K576" s="75"/>
      <c r="L576" s="75"/>
      <c r="M576" s="75"/>
      <c r="N576" s="75"/>
      <c r="O576" s="75"/>
      <c r="P576" s="75"/>
      <c r="Q576" s="75"/>
      <c r="R576" s="75"/>
      <c r="S576" s="75"/>
      <c r="T576" s="75"/>
      <c r="U576" s="75"/>
      <c r="V576" s="77"/>
      <c r="W576" s="75"/>
      <c r="X576" s="75"/>
      <c r="Y576" s="75"/>
      <c r="Z576" s="78"/>
      <c r="AA576" s="78"/>
      <c r="AB576" s="75"/>
      <c r="AJ576" s="72"/>
    </row>
    <row r="577" spans="2:36" s="69" customFormat="1" x14ac:dyDescent="0.25">
      <c r="B577" s="75"/>
      <c r="C577" s="76"/>
      <c r="D577" s="76"/>
      <c r="E577" s="75"/>
      <c r="F577" s="75"/>
      <c r="G577" s="75"/>
      <c r="H577" s="75"/>
      <c r="I577" s="75"/>
      <c r="J577" s="75"/>
      <c r="K577" s="75"/>
      <c r="L577" s="75"/>
      <c r="M577" s="75"/>
      <c r="N577" s="75"/>
      <c r="O577" s="75"/>
      <c r="P577" s="75"/>
      <c r="Q577" s="75"/>
      <c r="R577" s="75"/>
      <c r="S577" s="75"/>
      <c r="T577" s="75"/>
      <c r="U577" s="75"/>
      <c r="V577" s="77"/>
      <c r="W577" s="75"/>
      <c r="X577" s="75"/>
      <c r="Y577" s="75"/>
      <c r="Z577" s="78"/>
      <c r="AA577" s="78"/>
      <c r="AB577" s="75"/>
      <c r="AJ577" s="72"/>
    </row>
    <row r="578" spans="2:36" s="69" customFormat="1" x14ac:dyDescent="0.25">
      <c r="B578" s="75"/>
      <c r="C578" s="76"/>
      <c r="D578" s="76"/>
      <c r="E578" s="75"/>
      <c r="F578" s="75"/>
      <c r="G578" s="75"/>
      <c r="H578" s="75"/>
      <c r="I578" s="75"/>
      <c r="J578" s="75"/>
      <c r="K578" s="75"/>
      <c r="L578" s="75"/>
      <c r="M578" s="75"/>
      <c r="N578" s="75"/>
      <c r="O578" s="75"/>
      <c r="P578" s="75"/>
      <c r="Q578" s="75"/>
      <c r="R578" s="75"/>
      <c r="S578" s="75"/>
      <c r="T578" s="75"/>
      <c r="U578" s="75"/>
      <c r="V578" s="77"/>
      <c r="W578" s="75"/>
      <c r="X578" s="75"/>
      <c r="Y578" s="75"/>
      <c r="Z578" s="78"/>
      <c r="AA578" s="78"/>
      <c r="AB578" s="75"/>
      <c r="AJ578" s="72"/>
    </row>
    <row r="579" spans="2:36" s="69" customFormat="1" x14ac:dyDescent="0.25">
      <c r="B579" s="75"/>
      <c r="C579" s="76"/>
      <c r="D579" s="76"/>
      <c r="E579" s="75"/>
      <c r="F579" s="75"/>
      <c r="G579" s="75"/>
      <c r="H579" s="75"/>
      <c r="I579" s="75"/>
      <c r="J579" s="75"/>
      <c r="K579" s="75"/>
      <c r="L579" s="75"/>
      <c r="M579" s="75"/>
      <c r="N579" s="75"/>
      <c r="O579" s="75"/>
      <c r="P579" s="75"/>
      <c r="Q579" s="75"/>
      <c r="R579" s="75"/>
      <c r="S579" s="75"/>
      <c r="T579" s="75"/>
      <c r="U579" s="75"/>
      <c r="V579" s="77"/>
      <c r="W579" s="75"/>
      <c r="X579" s="75"/>
      <c r="Y579" s="75"/>
      <c r="Z579" s="78"/>
      <c r="AA579" s="78"/>
      <c r="AB579" s="75"/>
      <c r="AJ579" s="72"/>
    </row>
    <row r="580" spans="2:36" s="69" customFormat="1" x14ac:dyDescent="0.25">
      <c r="B580" s="75"/>
      <c r="C580" s="76"/>
      <c r="D580" s="76"/>
      <c r="E580" s="75"/>
      <c r="F580" s="75"/>
      <c r="G580" s="75"/>
      <c r="H580" s="75"/>
      <c r="I580" s="75"/>
      <c r="J580" s="75"/>
      <c r="K580" s="75"/>
      <c r="L580" s="75"/>
      <c r="M580" s="75"/>
      <c r="N580" s="75"/>
      <c r="O580" s="75"/>
      <c r="P580" s="75"/>
      <c r="Q580" s="75"/>
      <c r="R580" s="75"/>
      <c r="S580" s="75"/>
      <c r="T580" s="75"/>
      <c r="U580" s="75"/>
      <c r="V580" s="77"/>
      <c r="W580" s="75"/>
      <c r="X580" s="75"/>
      <c r="Y580" s="75"/>
      <c r="Z580" s="78"/>
      <c r="AA580" s="78"/>
      <c r="AB580" s="75"/>
      <c r="AJ580" s="72"/>
    </row>
    <row r="581" spans="2:36" s="69" customFormat="1" x14ac:dyDescent="0.25">
      <c r="B581" s="75"/>
      <c r="C581" s="76"/>
      <c r="D581" s="76"/>
      <c r="E581" s="75"/>
      <c r="F581" s="75"/>
      <c r="G581" s="75"/>
      <c r="H581" s="75"/>
      <c r="I581" s="75"/>
      <c r="J581" s="75"/>
      <c r="K581" s="75"/>
      <c r="L581" s="75"/>
      <c r="M581" s="75"/>
      <c r="N581" s="75"/>
      <c r="O581" s="75"/>
      <c r="P581" s="75"/>
      <c r="Q581" s="75"/>
      <c r="R581" s="75"/>
      <c r="S581" s="75"/>
      <c r="T581" s="75"/>
      <c r="U581" s="75"/>
      <c r="V581" s="77"/>
      <c r="W581" s="75"/>
      <c r="X581" s="75"/>
      <c r="Y581" s="75"/>
      <c r="Z581" s="78"/>
      <c r="AA581" s="78"/>
      <c r="AB581" s="75"/>
      <c r="AJ581" s="72"/>
    </row>
    <row r="582" spans="2:36" s="69" customFormat="1" x14ac:dyDescent="0.25">
      <c r="B582" s="75"/>
      <c r="C582" s="76"/>
      <c r="D582" s="76"/>
      <c r="E582" s="75"/>
      <c r="F582" s="75"/>
      <c r="G582" s="75"/>
      <c r="H582" s="75"/>
      <c r="I582" s="75"/>
      <c r="J582" s="75"/>
      <c r="K582" s="75"/>
      <c r="L582" s="75"/>
      <c r="M582" s="75"/>
      <c r="N582" s="75"/>
      <c r="O582" s="75"/>
      <c r="P582" s="75"/>
      <c r="Q582" s="75"/>
      <c r="R582" s="75"/>
      <c r="S582" s="75"/>
      <c r="T582" s="75"/>
      <c r="U582" s="75"/>
      <c r="V582" s="77"/>
      <c r="W582" s="75"/>
      <c r="X582" s="75"/>
      <c r="Y582" s="75"/>
      <c r="Z582" s="78"/>
      <c r="AA582" s="78"/>
      <c r="AB582" s="75"/>
      <c r="AJ582" s="72"/>
    </row>
    <row r="583" spans="2:36" s="69" customFormat="1" x14ac:dyDescent="0.25">
      <c r="B583" s="75"/>
      <c r="C583" s="76"/>
      <c r="D583" s="76"/>
      <c r="E583" s="75"/>
      <c r="F583" s="75"/>
      <c r="G583" s="75"/>
      <c r="H583" s="75"/>
      <c r="I583" s="75"/>
      <c r="J583" s="75"/>
      <c r="K583" s="75"/>
      <c r="L583" s="75"/>
      <c r="M583" s="75"/>
      <c r="N583" s="75"/>
      <c r="O583" s="75"/>
      <c r="P583" s="75"/>
      <c r="Q583" s="75"/>
      <c r="R583" s="75"/>
      <c r="S583" s="75"/>
      <c r="T583" s="75"/>
      <c r="U583" s="75"/>
      <c r="V583" s="77"/>
      <c r="W583" s="75"/>
      <c r="X583" s="75"/>
      <c r="Y583" s="75"/>
      <c r="Z583" s="78"/>
      <c r="AA583" s="78"/>
      <c r="AB583" s="75"/>
      <c r="AJ583" s="72"/>
    </row>
    <row r="584" spans="2:36" s="69" customFormat="1" x14ac:dyDescent="0.25">
      <c r="B584" s="75"/>
      <c r="C584" s="76"/>
      <c r="D584" s="76"/>
      <c r="E584" s="75"/>
      <c r="F584" s="75"/>
      <c r="G584" s="75"/>
      <c r="H584" s="75"/>
      <c r="I584" s="75"/>
      <c r="J584" s="75"/>
      <c r="K584" s="75"/>
      <c r="L584" s="75"/>
      <c r="M584" s="75"/>
      <c r="N584" s="75"/>
      <c r="O584" s="75"/>
      <c r="P584" s="75"/>
      <c r="Q584" s="75"/>
      <c r="R584" s="75"/>
      <c r="S584" s="75"/>
      <c r="T584" s="75"/>
      <c r="U584" s="75"/>
      <c r="V584" s="77"/>
      <c r="W584" s="75"/>
      <c r="X584" s="75"/>
      <c r="Y584" s="75"/>
      <c r="Z584" s="78"/>
      <c r="AA584" s="78"/>
      <c r="AB584" s="75"/>
      <c r="AJ584" s="72"/>
    </row>
    <row r="585" spans="2:36" s="69" customFormat="1" x14ac:dyDescent="0.25">
      <c r="B585" s="75"/>
      <c r="C585" s="76"/>
      <c r="D585" s="76"/>
      <c r="E585" s="75"/>
      <c r="F585" s="75"/>
      <c r="G585" s="75"/>
      <c r="H585" s="75"/>
      <c r="I585" s="75"/>
      <c r="J585" s="75"/>
      <c r="K585" s="75"/>
      <c r="L585" s="75"/>
      <c r="M585" s="75"/>
      <c r="N585" s="75"/>
      <c r="O585" s="75"/>
      <c r="P585" s="75"/>
      <c r="Q585" s="75"/>
      <c r="R585" s="75"/>
      <c r="S585" s="75"/>
      <c r="T585" s="75"/>
      <c r="U585" s="75"/>
      <c r="V585" s="77"/>
      <c r="W585" s="75"/>
      <c r="X585" s="75"/>
      <c r="Y585" s="75"/>
      <c r="Z585" s="78"/>
      <c r="AA585" s="78"/>
      <c r="AB585" s="75"/>
      <c r="AJ585" s="72"/>
    </row>
    <row r="586" spans="2:36" s="69" customFormat="1" x14ac:dyDescent="0.25">
      <c r="B586" s="75"/>
      <c r="C586" s="76"/>
      <c r="D586" s="76"/>
      <c r="E586" s="75"/>
      <c r="F586" s="75"/>
      <c r="G586" s="75"/>
      <c r="H586" s="75"/>
      <c r="I586" s="75"/>
      <c r="J586" s="75"/>
      <c r="K586" s="75"/>
      <c r="L586" s="75"/>
      <c r="M586" s="75"/>
      <c r="N586" s="75"/>
      <c r="O586" s="75"/>
      <c r="P586" s="75"/>
      <c r="Q586" s="75"/>
      <c r="R586" s="75"/>
      <c r="S586" s="75"/>
      <c r="T586" s="75"/>
      <c r="U586" s="75"/>
      <c r="V586" s="77"/>
      <c r="W586" s="75"/>
      <c r="X586" s="75"/>
      <c r="Y586" s="75"/>
      <c r="Z586" s="78"/>
      <c r="AA586" s="78"/>
      <c r="AB586" s="75"/>
      <c r="AJ586" s="72"/>
    </row>
    <row r="587" spans="2:36" s="69" customFormat="1" x14ac:dyDescent="0.25">
      <c r="B587" s="75"/>
      <c r="C587" s="76"/>
      <c r="D587" s="76"/>
      <c r="E587" s="75"/>
      <c r="F587" s="75"/>
      <c r="G587" s="75"/>
      <c r="H587" s="75"/>
      <c r="I587" s="75"/>
      <c r="J587" s="75"/>
      <c r="K587" s="75"/>
      <c r="L587" s="75"/>
      <c r="M587" s="75"/>
      <c r="N587" s="75"/>
      <c r="O587" s="75"/>
      <c r="P587" s="75"/>
      <c r="Q587" s="75"/>
      <c r="R587" s="75"/>
      <c r="S587" s="75"/>
      <c r="T587" s="75"/>
      <c r="U587" s="75"/>
      <c r="V587" s="77"/>
      <c r="W587" s="75"/>
      <c r="X587" s="75"/>
      <c r="Y587" s="75"/>
      <c r="Z587" s="78"/>
      <c r="AA587" s="78"/>
      <c r="AB587" s="75"/>
      <c r="AJ587" s="72"/>
    </row>
    <row r="588" spans="2:36" s="69" customFormat="1" x14ac:dyDescent="0.25">
      <c r="B588" s="75"/>
      <c r="C588" s="76"/>
      <c r="D588" s="76"/>
      <c r="E588" s="75"/>
      <c r="F588" s="75"/>
      <c r="G588" s="75"/>
      <c r="H588" s="75"/>
      <c r="I588" s="75"/>
      <c r="J588" s="75"/>
      <c r="K588" s="75"/>
      <c r="L588" s="75"/>
      <c r="M588" s="75"/>
      <c r="N588" s="75"/>
      <c r="O588" s="75"/>
      <c r="P588" s="75"/>
      <c r="Q588" s="75"/>
      <c r="R588" s="75"/>
      <c r="S588" s="75"/>
      <c r="T588" s="75"/>
      <c r="U588" s="75"/>
      <c r="V588" s="77"/>
      <c r="W588" s="75"/>
      <c r="X588" s="75"/>
      <c r="Y588" s="75"/>
      <c r="Z588" s="78"/>
      <c r="AA588" s="78"/>
      <c r="AB588" s="75"/>
      <c r="AJ588" s="72"/>
    </row>
    <row r="589" spans="2:36" s="69" customFormat="1" x14ac:dyDescent="0.25">
      <c r="B589" s="75"/>
      <c r="C589" s="76"/>
      <c r="D589" s="76"/>
      <c r="E589" s="75"/>
      <c r="F589" s="75"/>
      <c r="G589" s="75"/>
      <c r="H589" s="75"/>
      <c r="I589" s="75"/>
      <c r="J589" s="75"/>
      <c r="K589" s="75"/>
      <c r="L589" s="75"/>
      <c r="M589" s="75"/>
      <c r="N589" s="75"/>
      <c r="O589" s="75"/>
      <c r="P589" s="75"/>
      <c r="Q589" s="75"/>
      <c r="R589" s="75"/>
      <c r="S589" s="75"/>
      <c r="T589" s="75"/>
      <c r="U589" s="75"/>
      <c r="V589" s="77"/>
      <c r="W589" s="75"/>
      <c r="X589" s="75"/>
      <c r="Y589" s="75"/>
      <c r="Z589" s="78"/>
      <c r="AA589" s="78"/>
      <c r="AB589" s="75"/>
      <c r="AJ589" s="72"/>
    </row>
    <row r="590" spans="2:36" s="69" customFormat="1" x14ac:dyDescent="0.25">
      <c r="B590" s="75"/>
      <c r="C590" s="76"/>
      <c r="D590" s="76"/>
      <c r="E590" s="75"/>
      <c r="F590" s="75"/>
      <c r="G590" s="75"/>
      <c r="H590" s="75"/>
      <c r="I590" s="75"/>
      <c r="J590" s="75"/>
      <c r="K590" s="75"/>
      <c r="L590" s="75"/>
      <c r="M590" s="75"/>
      <c r="N590" s="75"/>
      <c r="O590" s="75"/>
      <c r="P590" s="75"/>
      <c r="Q590" s="75"/>
      <c r="R590" s="75"/>
      <c r="S590" s="75"/>
      <c r="T590" s="75"/>
      <c r="U590" s="75"/>
      <c r="V590" s="77"/>
      <c r="W590" s="75"/>
      <c r="X590" s="75"/>
      <c r="Y590" s="75"/>
      <c r="Z590" s="78"/>
      <c r="AA590" s="78"/>
      <c r="AB590" s="75"/>
      <c r="AJ590" s="72"/>
    </row>
    <row r="591" spans="2:36" s="69" customFormat="1" x14ac:dyDescent="0.25">
      <c r="B591" s="75"/>
      <c r="C591" s="76"/>
      <c r="D591" s="76"/>
      <c r="E591" s="75"/>
      <c r="F591" s="75"/>
      <c r="G591" s="75"/>
      <c r="H591" s="75"/>
      <c r="I591" s="75"/>
      <c r="J591" s="75"/>
      <c r="K591" s="75"/>
      <c r="L591" s="75"/>
      <c r="M591" s="75"/>
      <c r="N591" s="75"/>
      <c r="O591" s="75"/>
      <c r="P591" s="75"/>
      <c r="Q591" s="75"/>
      <c r="R591" s="75"/>
      <c r="S591" s="75"/>
      <c r="T591" s="75"/>
      <c r="U591" s="75"/>
      <c r="V591" s="77"/>
      <c r="W591" s="75"/>
      <c r="X591" s="75"/>
      <c r="Y591" s="75"/>
      <c r="Z591" s="78"/>
      <c r="AA591" s="78"/>
      <c r="AB591" s="75"/>
      <c r="AJ591" s="72"/>
    </row>
    <row r="592" spans="2:36" s="69" customFormat="1" x14ac:dyDescent="0.25">
      <c r="B592" s="75"/>
      <c r="C592" s="76"/>
      <c r="D592" s="76"/>
      <c r="E592" s="75"/>
      <c r="F592" s="75"/>
      <c r="G592" s="75"/>
      <c r="H592" s="75"/>
      <c r="I592" s="75"/>
      <c r="J592" s="75"/>
      <c r="K592" s="75"/>
      <c r="L592" s="75"/>
      <c r="M592" s="75"/>
      <c r="N592" s="75"/>
      <c r="O592" s="75"/>
      <c r="P592" s="75"/>
      <c r="Q592" s="75"/>
      <c r="R592" s="75"/>
      <c r="S592" s="75"/>
      <c r="T592" s="75"/>
      <c r="U592" s="75"/>
      <c r="V592" s="77"/>
      <c r="W592" s="75"/>
      <c r="X592" s="75"/>
      <c r="Y592" s="75"/>
      <c r="Z592" s="78"/>
      <c r="AA592" s="78"/>
      <c r="AB592" s="75"/>
      <c r="AJ592" s="72"/>
    </row>
    <row r="593" spans="2:36" s="69" customFormat="1" x14ac:dyDescent="0.25">
      <c r="C593" s="70"/>
      <c r="D593" s="70"/>
      <c r="V593" s="71"/>
      <c r="Z593" s="73"/>
      <c r="AA593" s="73"/>
      <c r="AJ593" s="72"/>
    </row>
    <row r="594" spans="2:36" s="69" customFormat="1" x14ac:dyDescent="0.25">
      <c r="C594" s="70"/>
      <c r="D594" s="70"/>
      <c r="V594" s="71"/>
      <c r="Z594" s="73"/>
      <c r="AA594" s="73"/>
      <c r="AJ594" s="72"/>
    </row>
    <row r="595" spans="2:36" s="69" customFormat="1" x14ac:dyDescent="0.25">
      <c r="C595" s="70"/>
      <c r="D595" s="70"/>
      <c r="V595" s="71"/>
      <c r="Z595" s="73"/>
      <c r="AA595" s="73"/>
      <c r="AJ595" s="72"/>
    </row>
    <row r="596" spans="2:36" s="69" customFormat="1" x14ac:dyDescent="0.25">
      <c r="C596" s="70"/>
      <c r="D596" s="70"/>
      <c r="V596" s="71"/>
      <c r="Z596" s="73"/>
      <c r="AA596" s="73"/>
      <c r="AJ596" s="72"/>
    </row>
    <row r="597" spans="2:36" x14ac:dyDescent="0.25">
      <c r="B597" s="24"/>
      <c r="C597" s="25"/>
      <c r="D597" s="25"/>
      <c r="E597" s="24"/>
      <c r="F597" s="24"/>
      <c r="G597" s="24"/>
      <c r="H597" s="24"/>
      <c r="I597" s="24"/>
      <c r="J597" s="24"/>
      <c r="K597" s="24"/>
      <c r="L597" s="24"/>
      <c r="M597" s="24"/>
      <c r="N597" s="24"/>
      <c r="O597" s="24"/>
      <c r="P597" s="24"/>
      <c r="Q597" s="24"/>
      <c r="R597" s="24"/>
      <c r="S597" s="24"/>
      <c r="T597" s="24"/>
      <c r="U597" s="24"/>
      <c r="V597" s="26"/>
    </row>
    <row r="598" spans="2:36" x14ac:dyDescent="0.25">
      <c r="B598" s="24"/>
      <c r="C598" s="25"/>
      <c r="D598" s="25"/>
      <c r="E598" s="24"/>
      <c r="F598" s="24"/>
      <c r="G598" s="24"/>
      <c r="H598" s="24"/>
      <c r="I598" s="24"/>
      <c r="J598" s="24"/>
      <c r="K598" s="24"/>
      <c r="L598" s="24"/>
      <c r="M598" s="24"/>
      <c r="N598" s="24"/>
      <c r="O598" s="24"/>
      <c r="P598" s="24"/>
      <c r="Q598" s="24"/>
      <c r="R598" s="24"/>
      <c r="S598" s="24"/>
      <c r="T598" s="24"/>
      <c r="U598" s="24"/>
      <c r="V598" s="26"/>
    </row>
    <row r="599" spans="2:36" x14ac:dyDescent="0.25">
      <c r="B599" s="24"/>
      <c r="C599" s="25"/>
      <c r="D599" s="25"/>
      <c r="E599" s="24"/>
      <c r="F599" s="24"/>
      <c r="G599" s="24"/>
      <c r="H599" s="24"/>
      <c r="I599" s="24"/>
      <c r="J599" s="24"/>
      <c r="K599" s="24"/>
      <c r="L599" s="24"/>
      <c r="M599" s="24"/>
      <c r="N599" s="24"/>
      <c r="O599" s="24"/>
      <c r="P599" s="24"/>
      <c r="Q599" s="24"/>
      <c r="R599" s="24"/>
      <c r="S599" s="24"/>
      <c r="T599" s="24"/>
      <c r="U599" s="24"/>
      <c r="V599" s="26"/>
    </row>
    <row r="600" spans="2:36" x14ac:dyDescent="0.25">
      <c r="B600" s="24"/>
      <c r="C600" s="25"/>
      <c r="D600" s="25"/>
      <c r="E600" s="24"/>
      <c r="F600" s="24"/>
      <c r="G600" s="24"/>
      <c r="H600" s="24"/>
      <c r="I600" s="24"/>
      <c r="J600" s="24"/>
      <c r="K600" s="24"/>
      <c r="L600" s="24"/>
      <c r="M600" s="24"/>
      <c r="N600" s="24"/>
      <c r="O600" s="24"/>
      <c r="P600" s="24"/>
      <c r="Q600" s="24"/>
      <c r="R600" s="24"/>
      <c r="S600" s="24"/>
      <c r="T600" s="24"/>
      <c r="U600" s="24"/>
      <c r="V600" s="26"/>
    </row>
    <row r="601" spans="2:36" x14ac:dyDescent="0.25">
      <c r="B601" s="24"/>
      <c r="C601" s="25"/>
      <c r="D601" s="25"/>
      <c r="E601" s="24"/>
      <c r="F601" s="24"/>
      <c r="G601" s="24"/>
      <c r="H601" s="24"/>
      <c r="I601" s="24"/>
      <c r="J601" s="24"/>
      <c r="K601" s="24"/>
      <c r="L601" s="24"/>
      <c r="M601" s="24"/>
      <c r="N601" s="24"/>
      <c r="O601" s="24"/>
      <c r="P601" s="24"/>
      <c r="Q601" s="24"/>
      <c r="R601" s="24"/>
      <c r="S601" s="24"/>
      <c r="T601" s="24"/>
      <c r="U601" s="24"/>
      <c r="V601" s="26"/>
    </row>
    <row r="602" spans="2:36" x14ac:dyDescent="0.25">
      <c r="B602" s="24"/>
      <c r="C602" s="25"/>
      <c r="D602" s="25"/>
      <c r="E602" s="24"/>
      <c r="F602" s="24"/>
      <c r="G602" s="24"/>
      <c r="H602" s="24"/>
      <c r="I602" s="24"/>
      <c r="J602" s="24"/>
      <c r="K602" s="24"/>
      <c r="L602" s="24"/>
      <c r="M602" s="24"/>
      <c r="N602" s="24"/>
      <c r="O602" s="24"/>
      <c r="P602" s="24"/>
      <c r="Q602" s="24"/>
      <c r="R602" s="24"/>
      <c r="S602" s="24"/>
      <c r="T602" s="24"/>
      <c r="U602" s="24"/>
      <c r="V602" s="26"/>
    </row>
  </sheetData>
  <sheetProtection selectLockedCells="1"/>
  <mergeCells count="25">
    <mergeCell ref="O331:P331"/>
    <mergeCell ref="O332:P332"/>
    <mergeCell ref="O333:P333"/>
    <mergeCell ref="Q331:U331"/>
    <mergeCell ref="Q332:U332"/>
    <mergeCell ref="Q333:U333"/>
    <mergeCell ref="K331:L331"/>
    <mergeCell ref="K332:L332"/>
    <mergeCell ref="K333:L333"/>
    <mergeCell ref="I331:J331"/>
    <mergeCell ref="I332:J332"/>
    <mergeCell ref="I333:J333"/>
    <mergeCell ref="E326:G326"/>
    <mergeCell ref="B2:V2"/>
    <mergeCell ref="E4:V4"/>
    <mergeCell ref="E5:G6"/>
    <mergeCell ref="I5:J5"/>
    <mergeCell ref="K5:L5"/>
    <mergeCell ref="I6:J6"/>
    <mergeCell ref="K6:L6"/>
    <mergeCell ref="O6:P6"/>
    <mergeCell ref="Q6:U6"/>
    <mergeCell ref="O5:P5"/>
    <mergeCell ref="Q5:U5"/>
    <mergeCell ref="V5:V6"/>
  </mergeCells>
  <conditionalFormatting sqref="G8:G325">
    <cfRule type="expression" dxfId="327" priority="7">
      <formula>$G8&lt;&gt;""</formula>
    </cfRule>
  </conditionalFormatting>
  <conditionalFormatting sqref="M332:O332 K332 H332:I332 Q332">
    <cfRule type="cellIs" dxfId="326" priority="4" operator="greaterThanOrEqual">
      <formula>0.9</formula>
    </cfRule>
    <cfRule type="cellIs" dxfId="325" priority="5" operator="between">
      <formula>0.00001</formula>
      <formula>0.499999</formula>
    </cfRule>
    <cfRule type="cellIs" dxfId="324" priority="6" operator="between">
      <formula>0.5</formula>
      <formula>0.89999</formula>
    </cfRule>
  </conditionalFormatting>
  <conditionalFormatting sqref="K332:K333 H332:I332 M332:O333 Q332:Q333">
    <cfRule type="containsErrors" dxfId="323" priority="14">
      <formula>ISERROR(H332)</formula>
    </cfRule>
  </conditionalFormatting>
  <conditionalFormatting sqref="H333:I333">
    <cfRule type="containsErrors" dxfId="322" priority="2">
      <formula>ISERROR(H333)</formula>
    </cfRule>
  </conditionalFormatting>
  <conditionalFormatting sqref="G8:G325">
    <cfRule type="expression" dxfId="321" priority="1">
      <formula>$G8=FALSE</formula>
    </cfRule>
  </conditionalFormatting>
  <pageMargins left="0.25" right="0.25" top="0.75" bottom="0.75" header="0.3" footer="0.3"/>
  <pageSetup scale="78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C5E477A-90B3-4232-9DF3-95E9101EA0B9}">
          <x14:formula1>
            <xm:f>Données!$N$1:$N$4</xm:f>
          </x14:formula1>
          <xm:sqref>G9:G10 G12:G325</xm:sqref>
        </x14:dataValidation>
        <x14:dataValidation type="list" allowBlank="1" showInputMessage="1" xr:uid="{144F0094-701E-423A-8B66-063618F1BEE1}">
          <x14:formula1>
            <xm:f>Données!$N$1:$N$4</xm:f>
          </x14:formula1>
          <xm:sqref>G8 G11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2D2AC-2423-4434-ADCB-78CF6A6E5E6D}">
  <sheetPr codeName="Feuil17"/>
  <dimension ref="A1:AI54"/>
  <sheetViews>
    <sheetView workbookViewId="0">
      <selection activeCell="Q13" sqref="Q13"/>
    </sheetView>
  </sheetViews>
  <sheetFormatPr baseColWidth="10" defaultColWidth="11.42578125" defaultRowHeight="15" x14ac:dyDescent="0.25"/>
  <cols>
    <col min="1" max="3" width="11.42578125" style="2"/>
    <col min="4" max="4" width="12.42578125" style="12" customWidth="1"/>
    <col min="5" max="5" width="11.42578125" style="2"/>
    <col min="6" max="6" width="11.42578125" style="17"/>
    <col min="7" max="12" width="11.42578125" style="2"/>
    <col min="13" max="13" width="11.42578125" style="15"/>
    <col min="14" max="14" width="11.42578125" style="12"/>
    <col min="15" max="15" width="28.140625" style="12" bestFit="1" customWidth="1"/>
    <col min="16" max="16" width="11.42578125" style="17"/>
    <col min="17" max="17" width="11.42578125" style="12"/>
    <col min="18" max="18" width="22" style="12" bestFit="1" customWidth="1"/>
    <col min="19" max="19" width="12.7109375" style="17" bestFit="1" customWidth="1"/>
    <col min="20" max="35" width="11.42578125" style="12"/>
    <col min="36" max="16384" width="11.42578125" style="2"/>
  </cols>
  <sheetData>
    <row r="1" spans="1:19" x14ac:dyDescent="0.25">
      <c r="F1" s="13" t="s">
        <v>0</v>
      </c>
      <c r="G1" s="14" t="s">
        <v>18</v>
      </c>
      <c r="H1" s="14" t="s">
        <v>19</v>
      </c>
      <c r="I1" s="14" t="s">
        <v>20</v>
      </c>
      <c r="J1" s="14" t="s">
        <v>21</v>
      </c>
      <c r="K1" s="14" t="s">
        <v>22</v>
      </c>
      <c r="L1" s="14" t="s">
        <v>23</v>
      </c>
      <c r="N1" s="12" t="s">
        <v>24</v>
      </c>
      <c r="P1" s="17">
        <v>1</v>
      </c>
      <c r="R1" s="12" t="s">
        <v>81</v>
      </c>
      <c r="S1" s="17" t="s">
        <v>80</v>
      </c>
    </row>
    <row r="2" spans="1:19" x14ac:dyDescent="0.25">
      <c r="A2" s="12">
        <f ca="1">TODAY()</f>
        <v>43850</v>
      </c>
      <c r="B2" s="2">
        <f>Coordos!T6</f>
        <v>2020</v>
      </c>
      <c r="C2" s="2">
        <v>1</v>
      </c>
      <c r="D2" s="12">
        <f>7*C2+DATE($B$2,1,3)-WEEKDAY(DATE($B$2,1,3))-5</f>
        <v>43829</v>
      </c>
      <c r="F2" s="13" t="s">
        <v>25</v>
      </c>
      <c r="G2" s="16">
        <f>D2</f>
        <v>43829</v>
      </c>
      <c r="H2" s="16">
        <f>D2+1</f>
        <v>43830</v>
      </c>
      <c r="I2" s="16">
        <f>D2+2</f>
        <v>43831</v>
      </c>
      <c r="J2" s="16">
        <f>D2+3</f>
        <v>43832</v>
      </c>
      <c r="K2" s="16">
        <f>D2+4</f>
        <v>43833</v>
      </c>
      <c r="L2" s="16">
        <f>D2+5</f>
        <v>43834</v>
      </c>
      <c r="N2" s="12" t="s">
        <v>26</v>
      </c>
      <c r="P2" s="17">
        <v>2</v>
      </c>
      <c r="R2" s="17"/>
    </row>
    <row r="3" spans="1:19" x14ac:dyDescent="0.25">
      <c r="B3" s="2">
        <f ca="1">TODAY()-DATE(YEAR(TODAY()),1,0)</f>
        <v>20</v>
      </c>
      <c r="C3" s="2">
        <v>2</v>
      </c>
      <c r="D3" s="12">
        <f t="shared" ref="D3:D54" si="0">7*C3+DATE($B$2,1,3)-WEEKDAY(DATE($B$2,1,3))-5</f>
        <v>43836</v>
      </c>
      <c r="F3" s="13" t="s">
        <v>27</v>
      </c>
      <c r="G3" s="16">
        <f t="shared" ref="G3:G54" si="1">D3</f>
        <v>43836</v>
      </c>
      <c r="H3" s="16">
        <f t="shared" ref="H3:H54" si="2">D3+1</f>
        <v>43837</v>
      </c>
      <c r="I3" s="16">
        <f t="shared" ref="I3:I54" si="3">D3+2</f>
        <v>43838</v>
      </c>
      <c r="J3" s="16">
        <f t="shared" ref="J3:J54" si="4">D3+3</f>
        <v>43839</v>
      </c>
      <c r="K3" s="16">
        <f t="shared" ref="K3:K54" si="5">D3+4</f>
        <v>43840</v>
      </c>
      <c r="L3" s="16">
        <f t="shared" ref="L3:L54" si="6">D3+5</f>
        <v>43841</v>
      </c>
      <c r="N3" s="12" t="s">
        <v>28</v>
      </c>
      <c r="P3" s="17">
        <v>4</v>
      </c>
    </row>
    <row r="4" spans="1:19" x14ac:dyDescent="0.25">
      <c r="C4" s="2">
        <v>3</v>
      </c>
      <c r="D4" s="12">
        <f t="shared" si="0"/>
        <v>43843</v>
      </c>
      <c r="F4" s="13" t="s">
        <v>29</v>
      </c>
      <c r="G4" s="16">
        <f t="shared" si="1"/>
        <v>43843</v>
      </c>
      <c r="H4" s="16">
        <f t="shared" si="2"/>
        <v>43844</v>
      </c>
      <c r="I4" s="16">
        <f t="shared" si="3"/>
        <v>43845</v>
      </c>
      <c r="J4" s="16">
        <f t="shared" si="4"/>
        <v>43846</v>
      </c>
      <c r="K4" s="16">
        <f t="shared" si="5"/>
        <v>43847</v>
      </c>
      <c r="L4" s="16">
        <f t="shared" si="6"/>
        <v>43848</v>
      </c>
      <c r="N4" s="12" t="s">
        <v>84</v>
      </c>
    </row>
    <row r="5" spans="1:19" x14ac:dyDescent="0.25">
      <c r="C5" s="2">
        <v>4</v>
      </c>
      <c r="D5" s="12">
        <f t="shared" si="0"/>
        <v>43850</v>
      </c>
      <c r="F5" s="13" t="s">
        <v>30</v>
      </c>
      <c r="G5" s="16">
        <f t="shared" si="1"/>
        <v>43850</v>
      </c>
      <c r="H5" s="16">
        <f t="shared" si="2"/>
        <v>43851</v>
      </c>
      <c r="I5" s="16">
        <f t="shared" si="3"/>
        <v>43852</v>
      </c>
      <c r="J5" s="16">
        <f t="shared" si="4"/>
        <v>43853</v>
      </c>
      <c r="K5" s="16">
        <f t="shared" si="5"/>
        <v>43854</v>
      </c>
      <c r="L5" s="16">
        <f t="shared" si="6"/>
        <v>43855</v>
      </c>
    </row>
    <row r="6" spans="1:19" x14ac:dyDescent="0.25">
      <c r="C6" s="2">
        <v>5</v>
      </c>
      <c r="D6" s="12">
        <f t="shared" si="0"/>
        <v>43857</v>
      </c>
      <c r="F6" s="13" t="s">
        <v>31</v>
      </c>
      <c r="G6" s="16">
        <f t="shared" si="1"/>
        <v>43857</v>
      </c>
      <c r="H6" s="16">
        <f t="shared" si="2"/>
        <v>43858</v>
      </c>
      <c r="I6" s="16">
        <f t="shared" si="3"/>
        <v>43859</v>
      </c>
      <c r="J6" s="16">
        <f t="shared" si="4"/>
        <v>43860</v>
      </c>
      <c r="K6" s="16">
        <f t="shared" si="5"/>
        <v>43861</v>
      </c>
      <c r="L6" s="16">
        <f t="shared" si="6"/>
        <v>43862</v>
      </c>
    </row>
    <row r="7" spans="1:19" x14ac:dyDescent="0.25">
      <c r="C7" s="2">
        <v>6</v>
      </c>
      <c r="D7" s="12">
        <f t="shared" si="0"/>
        <v>43864</v>
      </c>
      <c r="F7" s="13" t="s">
        <v>32</v>
      </c>
      <c r="G7" s="16">
        <f t="shared" si="1"/>
        <v>43864</v>
      </c>
      <c r="H7" s="16">
        <f t="shared" si="2"/>
        <v>43865</v>
      </c>
      <c r="I7" s="16">
        <f t="shared" si="3"/>
        <v>43866</v>
      </c>
      <c r="J7" s="16">
        <f t="shared" si="4"/>
        <v>43867</v>
      </c>
      <c r="K7" s="16">
        <f t="shared" si="5"/>
        <v>43868</v>
      </c>
      <c r="L7" s="16">
        <f t="shared" si="6"/>
        <v>43869</v>
      </c>
    </row>
    <row r="8" spans="1:19" x14ac:dyDescent="0.25">
      <c r="C8" s="2">
        <v>7</v>
      </c>
      <c r="D8" s="12">
        <f t="shared" si="0"/>
        <v>43871</v>
      </c>
      <c r="F8" s="13" t="s">
        <v>33</v>
      </c>
      <c r="G8" s="16">
        <f t="shared" si="1"/>
        <v>43871</v>
      </c>
      <c r="H8" s="16">
        <f t="shared" si="2"/>
        <v>43872</v>
      </c>
      <c r="I8" s="16">
        <f t="shared" si="3"/>
        <v>43873</v>
      </c>
      <c r="J8" s="16">
        <f t="shared" si="4"/>
        <v>43874</v>
      </c>
      <c r="K8" s="16">
        <f t="shared" si="5"/>
        <v>43875</v>
      </c>
      <c r="L8" s="16">
        <f t="shared" si="6"/>
        <v>43876</v>
      </c>
    </row>
    <row r="9" spans="1:19" x14ac:dyDescent="0.25">
      <c r="C9" s="2">
        <v>8</v>
      </c>
      <c r="D9" s="12">
        <f t="shared" si="0"/>
        <v>43878</v>
      </c>
      <c r="F9" s="13" t="s">
        <v>34</v>
      </c>
      <c r="G9" s="16">
        <f t="shared" si="1"/>
        <v>43878</v>
      </c>
      <c r="H9" s="16">
        <f t="shared" si="2"/>
        <v>43879</v>
      </c>
      <c r="I9" s="16">
        <f t="shared" si="3"/>
        <v>43880</v>
      </c>
      <c r="J9" s="16">
        <f t="shared" si="4"/>
        <v>43881</v>
      </c>
      <c r="K9" s="16">
        <f t="shared" si="5"/>
        <v>43882</v>
      </c>
      <c r="L9" s="16">
        <f t="shared" si="6"/>
        <v>43883</v>
      </c>
    </row>
    <row r="10" spans="1:19" x14ac:dyDescent="0.25">
      <c r="C10" s="2">
        <v>9</v>
      </c>
      <c r="D10" s="12">
        <f t="shared" si="0"/>
        <v>43885</v>
      </c>
      <c r="F10" s="13" t="s">
        <v>35</v>
      </c>
      <c r="G10" s="16">
        <f t="shared" si="1"/>
        <v>43885</v>
      </c>
      <c r="H10" s="16">
        <f t="shared" si="2"/>
        <v>43886</v>
      </c>
      <c r="I10" s="16">
        <f t="shared" si="3"/>
        <v>43887</v>
      </c>
      <c r="J10" s="16">
        <f t="shared" si="4"/>
        <v>43888</v>
      </c>
      <c r="K10" s="16">
        <f t="shared" si="5"/>
        <v>43889</v>
      </c>
      <c r="L10" s="16">
        <f t="shared" si="6"/>
        <v>43890</v>
      </c>
    </row>
    <row r="11" spans="1:19" x14ac:dyDescent="0.25">
      <c r="C11" s="2">
        <v>10</v>
      </c>
      <c r="D11" s="12">
        <f t="shared" si="0"/>
        <v>43892</v>
      </c>
      <c r="F11" s="13" t="s">
        <v>36</v>
      </c>
      <c r="G11" s="16">
        <f t="shared" si="1"/>
        <v>43892</v>
      </c>
      <c r="H11" s="16">
        <f t="shared" si="2"/>
        <v>43893</v>
      </c>
      <c r="I11" s="16">
        <f t="shared" si="3"/>
        <v>43894</v>
      </c>
      <c r="J11" s="16">
        <f t="shared" si="4"/>
        <v>43895</v>
      </c>
      <c r="K11" s="16">
        <f t="shared" si="5"/>
        <v>43896</v>
      </c>
      <c r="L11" s="16">
        <f t="shared" si="6"/>
        <v>43897</v>
      </c>
    </row>
    <row r="12" spans="1:19" x14ac:dyDescent="0.25">
      <c r="C12" s="2">
        <v>11</v>
      </c>
      <c r="D12" s="12">
        <f t="shared" si="0"/>
        <v>43899</v>
      </c>
      <c r="F12" s="13" t="s">
        <v>37</v>
      </c>
      <c r="G12" s="16">
        <f t="shared" si="1"/>
        <v>43899</v>
      </c>
      <c r="H12" s="16">
        <f t="shared" si="2"/>
        <v>43900</v>
      </c>
      <c r="I12" s="16">
        <f t="shared" si="3"/>
        <v>43901</v>
      </c>
      <c r="J12" s="16">
        <f t="shared" si="4"/>
        <v>43902</v>
      </c>
      <c r="K12" s="16">
        <f t="shared" si="5"/>
        <v>43903</v>
      </c>
      <c r="L12" s="16">
        <f t="shared" si="6"/>
        <v>43904</v>
      </c>
    </row>
    <row r="13" spans="1:19" x14ac:dyDescent="0.25">
      <c r="C13" s="2">
        <v>12</v>
      </c>
      <c r="D13" s="12">
        <f t="shared" si="0"/>
        <v>43906</v>
      </c>
      <c r="F13" s="13" t="s">
        <v>38</v>
      </c>
      <c r="G13" s="16">
        <f t="shared" si="1"/>
        <v>43906</v>
      </c>
      <c r="H13" s="16">
        <f t="shared" si="2"/>
        <v>43907</v>
      </c>
      <c r="I13" s="16">
        <f t="shared" si="3"/>
        <v>43908</v>
      </c>
      <c r="J13" s="16">
        <f t="shared" si="4"/>
        <v>43909</v>
      </c>
      <c r="K13" s="16">
        <f t="shared" si="5"/>
        <v>43910</v>
      </c>
      <c r="L13" s="16">
        <f t="shared" si="6"/>
        <v>43911</v>
      </c>
    </row>
    <row r="14" spans="1:19" x14ac:dyDescent="0.25">
      <c r="C14" s="2">
        <v>13</v>
      </c>
      <c r="D14" s="12">
        <f t="shared" si="0"/>
        <v>43913</v>
      </c>
      <c r="F14" s="13" t="s">
        <v>39</v>
      </c>
      <c r="G14" s="16">
        <f t="shared" si="1"/>
        <v>43913</v>
      </c>
      <c r="H14" s="16">
        <f t="shared" si="2"/>
        <v>43914</v>
      </c>
      <c r="I14" s="16">
        <f t="shared" si="3"/>
        <v>43915</v>
      </c>
      <c r="J14" s="16">
        <f t="shared" si="4"/>
        <v>43916</v>
      </c>
      <c r="K14" s="16">
        <f t="shared" si="5"/>
        <v>43917</v>
      </c>
      <c r="L14" s="16">
        <f t="shared" si="6"/>
        <v>43918</v>
      </c>
    </row>
    <row r="15" spans="1:19" x14ac:dyDescent="0.25">
      <c r="C15" s="2">
        <v>14</v>
      </c>
      <c r="D15" s="12">
        <f t="shared" si="0"/>
        <v>43920</v>
      </c>
      <c r="F15" s="13" t="s">
        <v>40</v>
      </c>
      <c r="G15" s="16">
        <f t="shared" si="1"/>
        <v>43920</v>
      </c>
      <c r="H15" s="16">
        <f t="shared" si="2"/>
        <v>43921</v>
      </c>
      <c r="I15" s="16">
        <f t="shared" si="3"/>
        <v>43922</v>
      </c>
      <c r="J15" s="16">
        <f t="shared" si="4"/>
        <v>43923</v>
      </c>
      <c r="K15" s="16">
        <f t="shared" si="5"/>
        <v>43924</v>
      </c>
      <c r="L15" s="16">
        <f t="shared" si="6"/>
        <v>43925</v>
      </c>
    </row>
    <row r="16" spans="1:19" x14ac:dyDescent="0.25">
      <c r="C16" s="2">
        <v>15</v>
      </c>
      <c r="D16" s="12">
        <f t="shared" si="0"/>
        <v>43927</v>
      </c>
      <c r="F16" s="13" t="s">
        <v>41</v>
      </c>
      <c r="G16" s="16">
        <f t="shared" si="1"/>
        <v>43927</v>
      </c>
      <c r="H16" s="16">
        <f t="shared" si="2"/>
        <v>43928</v>
      </c>
      <c r="I16" s="16">
        <f t="shared" si="3"/>
        <v>43929</v>
      </c>
      <c r="J16" s="16">
        <f t="shared" si="4"/>
        <v>43930</v>
      </c>
      <c r="K16" s="16">
        <f t="shared" si="5"/>
        <v>43931</v>
      </c>
      <c r="L16" s="16">
        <f t="shared" si="6"/>
        <v>43932</v>
      </c>
    </row>
    <row r="17" spans="3:12" x14ac:dyDescent="0.25">
      <c r="C17" s="2">
        <v>16</v>
      </c>
      <c r="D17" s="12">
        <f t="shared" si="0"/>
        <v>43934</v>
      </c>
      <c r="F17" s="13" t="s">
        <v>42</v>
      </c>
      <c r="G17" s="16">
        <f t="shared" si="1"/>
        <v>43934</v>
      </c>
      <c r="H17" s="16">
        <f t="shared" si="2"/>
        <v>43935</v>
      </c>
      <c r="I17" s="16">
        <f t="shared" si="3"/>
        <v>43936</v>
      </c>
      <c r="J17" s="16">
        <f t="shared" si="4"/>
        <v>43937</v>
      </c>
      <c r="K17" s="16">
        <f t="shared" si="5"/>
        <v>43938</v>
      </c>
      <c r="L17" s="16">
        <f t="shared" si="6"/>
        <v>43939</v>
      </c>
    </row>
    <row r="18" spans="3:12" x14ac:dyDescent="0.25">
      <c r="C18" s="2">
        <v>17</v>
      </c>
      <c r="D18" s="12">
        <f t="shared" si="0"/>
        <v>43941</v>
      </c>
      <c r="F18" s="13" t="s">
        <v>43</v>
      </c>
      <c r="G18" s="16">
        <f t="shared" si="1"/>
        <v>43941</v>
      </c>
      <c r="H18" s="16">
        <f t="shared" si="2"/>
        <v>43942</v>
      </c>
      <c r="I18" s="16">
        <f t="shared" si="3"/>
        <v>43943</v>
      </c>
      <c r="J18" s="16">
        <f t="shared" si="4"/>
        <v>43944</v>
      </c>
      <c r="K18" s="16">
        <f t="shared" si="5"/>
        <v>43945</v>
      </c>
      <c r="L18" s="16">
        <f t="shared" si="6"/>
        <v>43946</v>
      </c>
    </row>
    <row r="19" spans="3:12" x14ac:dyDescent="0.25">
      <c r="C19" s="2">
        <v>18</v>
      </c>
      <c r="D19" s="12">
        <f t="shared" si="0"/>
        <v>43948</v>
      </c>
      <c r="F19" s="13" t="s">
        <v>44</v>
      </c>
      <c r="G19" s="16">
        <f t="shared" si="1"/>
        <v>43948</v>
      </c>
      <c r="H19" s="16">
        <f t="shared" si="2"/>
        <v>43949</v>
      </c>
      <c r="I19" s="16">
        <f t="shared" si="3"/>
        <v>43950</v>
      </c>
      <c r="J19" s="16">
        <f t="shared" si="4"/>
        <v>43951</v>
      </c>
      <c r="K19" s="16">
        <f t="shared" si="5"/>
        <v>43952</v>
      </c>
      <c r="L19" s="16">
        <f t="shared" si="6"/>
        <v>43953</v>
      </c>
    </row>
    <row r="20" spans="3:12" x14ac:dyDescent="0.25">
      <c r="C20" s="2">
        <v>19</v>
      </c>
      <c r="D20" s="12">
        <f t="shared" si="0"/>
        <v>43955</v>
      </c>
      <c r="F20" s="13" t="s">
        <v>45</v>
      </c>
      <c r="G20" s="16">
        <f t="shared" si="1"/>
        <v>43955</v>
      </c>
      <c r="H20" s="16">
        <f t="shared" si="2"/>
        <v>43956</v>
      </c>
      <c r="I20" s="16">
        <f t="shared" si="3"/>
        <v>43957</v>
      </c>
      <c r="J20" s="16">
        <f t="shared" si="4"/>
        <v>43958</v>
      </c>
      <c r="K20" s="16">
        <f t="shared" si="5"/>
        <v>43959</v>
      </c>
      <c r="L20" s="16">
        <f t="shared" si="6"/>
        <v>43960</v>
      </c>
    </row>
    <row r="21" spans="3:12" x14ac:dyDescent="0.25">
      <c r="C21" s="2">
        <v>20</v>
      </c>
      <c r="D21" s="12">
        <f t="shared" si="0"/>
        <v>43962</v>
      </c>
      <c r="F21" s="13" t="s">
        <v>46</v>
      </c>
      <c r="G21" s="16">
        <f t="shared" si="1"/>
        <v>43962</v>
      </c>
      <c r="H21" s="16">
        <f t="shared" si="2"/>
        <v>43963</v>
      </c>
      <c r="I21" s="16">
        <f t="shared" si="3"/>
        <v>43964</v>
      </c>
      <c r="J21" s="16">
        <f t="shared" si="4"/>
        <v>43965</v>
      </c>
      <c r="K21" s="16">
        <f t="shared" si="5"/>
        <v>43966</v>
      </c>
      <c r="L21" s="16">
        <f t="shared" si="6"/>
        <v>43967</v>
      </c>
    </row>
    <row r="22" spans="3:12" x14ac:dyDescent="0.25">
      <c r="C22" s="2">
        <v>21</v>
      </c>
      <c r="D22" s="12">
        <f t="shared" si="0"/>
        <v>43969</v>
      </c>
      <c r="F22" s="13" t="s">
        <v>47</v>
      </c>
      <c r="G22" s="16">
        <f t="shared" si="1"/>
        <v>43969</v>
      </c>
      <c r="H22" s="16">
        <f t="shared" si="2"/>
        <v>43970</v>
      </c>
      <c r="I22" s="16">
        <f t="shared" si="3"/>
        <v>43971</v>
      </c>
      <c r="J22" s="16">
        <f t="shared" si="4"/>
        <v>43972</v>
      </c>
      <c r="K22" s="16">
        <f t="shared" si="5"/>
        <v>43973</v>
      </c>
      <c r="L22" s="16">
        <f t="shared" si="6"/>
        <v>43974</v>
      </c>
    </row>
    <row r="23" spans="3:12" x14ac:dyDescent="0.25">
      <c r="C23" s="2">
        <v>22</v>
      </c>
      <c r="D23" s="12">
        <f t="shared" si="0"/>
        <v>43976</v>
      </c>
      <c r="F23" s="13" t="s">
        <v>48</v>
      </c>
      <c r="G23" s="16">
        <f t="shared" si="1"/>
        <v>43976</v>
      </c>
      <c r="H23" s="16">
        <f t="shared" si="2"/>
        <v>43977</v>
      </c>
      <c r="I23" s="16">
        <f t="shared" si="3"/>
        <v>43978</v>
      </c>
      <c r="J23" s="16">
        <f t="shared" si="4"/>
        <v>43979</v>
      </c>
      <c r="K23" s="16">
        <f t="shared" si="5"/>
        <v>43980</v>
      </c>
      <c r="L23" s="16">
        <f t="shared" si="6"/>
        <v>43981</v>
      </c>
    </row>
    <row r="24" spans="3:12" x14ac:dyDescent="0.25">
      <c r="C24" s="2">
        <v>23</v>
      </c>
      <c r="D24" s="12">
        <f t="shared" si="0"/>
        <v>43983</v>
      </c>
      <c r="F24" s="13" t="s">
        <v>49</v>
      </c>
      <c r="G24" s="16">
        <f t="shared" si="1"/>
        <v>43983</v>
      </c>
      <c r="H24" s="16">
        <f t="shared" si="2"/>
        <v>43984</v>
      </c>
      <c r="I24" s="16">
        <f t="shared" si="3"/>
        <v>43985</v>
      </c>
      <c r="J24" s="16">
        <f t="shared" si="4"/>
        <v>43986</v>
      </c>
      <c r="K24" s="16">
        <f t="shared" si="5"/>
        <v>43987</v>
      </c>
      <c r="L24" s="16">
        <f t="shared" si="6"/>
        <v>43988</v>
      </c>
    </row>
    <row r="25" spans="3:12" x14ac:dyDescent="0.25">
      <c r="C25" s="2">
        <v>24</v>
      </c>
      <c r="D25" s="12">
        <f t="shared" si="0"/>
        <v>43990</v>
      </c>
      <c r="F25" s="13" t="s">
        <v>50</v>
      </c>
      <c r="G25" s="16">
        <f t="shared" si="1"/>
        <v>43990</v>
      </c>
      <c r="H25" s="16">
        <f t="shared" si="2"/>
        <v>43991</v>
      </c>
      <c r="I25" s="16">
        <f t="shared" si="3"/>
        <v>43992</v>
      </c>
      <c r="J25" s="16">
        <f t="shared" si="4"/>
        <v>43993</v>
      </c>
      <c r="K25" s="16">
        <f t="shared" si="5"/>
        <v>43994</v>
      </c>
      <c r="L25" s="16">
        <f t="shared" si="6"/>
        <v>43995</v>
      </c>
    </row>
    <row r="26" spans="3:12" x14ac:dyDescent="0.25">
      <c r="C26" s="2">
        <v>25</v>
      </c>
      <c r="D26" s="12">
        <f t="shared" si="0"/>
        <v>43997</v>
      </c>
      <c r="F26" s="13" t="s">
        <v>51</v>
      </c>
      <c r="G26" s="16">
        <f t="shared" si="1"/>
        <v>43997</v>
      </c>
      <c r="H26" s="16">
        <f t="shared" si="2"/>
        <v>43998</v>
      </c>
      <c r="I26" s="16">
        <f t="shared" si="3"/>
        <v>43999</v>
      </c>
      <c r="J26" s="16">
        <f t="shared" si="4"/>
        <v>44000</v>
      </c>
      <c r="K26" s="16">
        <f t="shared" si="5"/>
        <v>44001</v>
      </c>
      <c r="L26" s="16">
        <f t="shared" si="6"/>
        <v>44002</v>
      </c>
    </row>
    <row r="27" spans="3:12" x14ac:dyDescent="0.25">
      <c r="C27" s="2">
        <v>26</v>
      </c>
      <c r="D27" s="12">
        <f t="shared" si="0"/>
        <v>44004</v>
      </c>
      <c r="F27" s="13" t="s">
        <v>52</v>
      </c>
      <c r="G27" s="16">
        <f t="shared" si="1"/>
        <v>44004</v>
      </c>
      <c r="H27" s="16">
        <f t="shared" si="2"/>
        <v>44005</v>
      </c>
      <c r="I27" s="16">
        <f t="shared" si="3"/>
        <v>44006</v>
      </c>
      <c r="J27" s="16">
        <f t="shared" si="4"/>
        <v>44007</v>
      </c>
      <c r="K27" s="16">
        <f t="shared" si="5"/>
        <v>44008</v>
      </c>
      <c r="L27" s="16">
        <f t="shared" si="6"/>
        <v>44009</v>
      </c>
    </row>
    <row r="28" spans="3:12" x14ac:dyDescent="0.25">
      <c r="C28" s="2">
        <v>27</v>
      </c>
      <c r="D28" s="12">
        <f t="shared" si="0"/>
        <v>44011</v>
      </c>
      <c r="F28" s="13" t="s">
        <v>53</v>
      </c>
      <c r="G28" s="16">
        <f t="shared" si="1"/>
        <v>44011</v>
      </c>
      <c r="H28" s="16">
        <f t="shared" si="2"/>
        <v>44012</v>
      </c>
      <c r="I28" s="16">
        <f t="shared" si="3"/>
        <v>44013</v>
      </c>
      <c r="J28" s="16">
        <f t="shared" si="4"/>
        <v>44014</v>
      </c>
      <c r="K28" s="16">
        <f t="shared" si="5"/>
        <v>44015</v>
      </c>
      <c r="L28" s="16">
        <f t="shared" si="6"/>
        <v>44016</v>
      </c>
    </row>
    <row r="29" spans="3:12" x14ac:dyDescent="0.25">
      <c r="C29" s="2">
        <v>28</v>
      </c>
      <c r="D29" s="12">
        <f t="shared" si="0"/>
        <v>44018</v>
      </c>
      <c r="F29" s="13" t="s">
        <v>54</v>
      </c>
      <c r="G29" s="16">
        <f t="shared" si="1"/>
        <v>44018</v>
      </c>
      <c r="H29" s="16">
        <f t="shared" si="2"/>
        <v>44019</v>
      </c>
      <c r="I29" s="16">
        <f t="shared" si="3"/>
        <v>44020</v>
      </c>
      <c r="J29" s="16">
        <f t="shared" si="4"/>
        <v>44021</v>
      </c>
      <c r="K29" s="16">
        <f t="shared" si="5"/>
        <v>44022</v>
      </c>
      <c r="L29" s="16">
        <f t="shared" si="6"/>
        <v>44023</v>
      </c>
    </row>
    <row r="30" spans="3:12" x14ac:dyDescent="0.25">
      <c r="C30" s="2">
        <v>29</v>
      </c>
      <c r="D30" s="12">
        <f t="shared" si="0"/>
        <v>44025</v>
      </c>
      <c r="F30" s="13" t="s">
        <v>55</v>
      </c>
      <c r="G30" s="16">
        <f t="shared" si="1"/>
        <v>44025</v>
      </c>
      <c r="H30" s="16">
        <f t="shared" si="2"/>
        <v>44026</v>
      </c>
      <c r="I30" s="16">
        <f t="shared" si="3"/>
        <v>44027</v>
      </c>
      <c r="J30" s="16">
        <f t="shared" si="4"/>
        <v>44028</v>
      </c>
      <c r="K30" s="16">
        <f t="shared" si="5"/>
        <v>44029</v>
      </c>
      <c r="L30" s="16">
        <f t="shared" si="6"/>
        <v>44030</v>
      </c>
    </row>
    <row r="31" spans="3:12" x14ac:dyDescent="0.25">
      <c r="C31" s="2">
        <v>30</v>
      </c>
      <c r="D31" s="12">
        <f t="shared" si="0"/>
        <v>44032</v>
      </c>
      <c r="F31" s="13" t="s">
        <v>56</v>
      </c>
      <c r="G31" s="16">
        <f t="shared" si="1"/>
        <v>44032</v>
      </c>
      <c r="H31" s="16">
        <f t="shared" si="2"/>
        <v>44033</v>
      </c>
      <c r="I31" s="16">
        <f t="shared" si="3"/>
        <v>44034</v>
      </c>
      <c r="J31" s="16">
        <f t="shared" si="4"/>
        <v>44035</v>
      </c>
      <c r="K31" s="16">
        <f t="shared" si="5"/>
        <v>44036</v>
      </c>
      <c r="L31" s="16">
        <f t="shared" si="6"/>
        <v>44037</v>
      </c>
    </row>
    <row r="32" spans="3:12" x14ac:dyDescent="0.25">
      <c r="C32" s="2">
        <v>31</v>
      </c>
      <c r="D32" s="12">
        <f t="shared" si="0"/>
        <v>44039</v>
      </c>
      <c r="F32" s="13" t="s">
        <v>57</v>
      </c>
      <c r="G32" s="16">
        <f t="shared" si="1"/>
        <v>44039</v>
      </c>
      <c r="H32" s="16">
        <f t="shared" si="2"/>
        <v>44040</v>
      </c>
      <c r="I32" s="16">
        <f t="shared" si="3"/>
        <v>44041</v>
      </c>
      <c r="J32" s="16">
        <f t="shared" si="4"/>
        <v>44042</v>
      </c>
      <c r="K32" s="16">
        <f t="shared" si="5"/>
        <v>44043</v>
      </c>
      <c r="L32" s="16">
        <f t="shared" si="6"/>
        <v>44044</v>
      </c>
    </row>
    <row r="33" spans="3:12" x14ac:dyDescent="0.25">
      <c r="C33" s="2">
        <v>32</v>
      </c>
      <c r="D33" s="12">
        <f t="shared" si="0"/>
        <v>44046</v>
      </c>
      <c r="F33" s="13" t="s">
        <v>58</v>
      </c>
      <c r="G33" s="16">
        <f t="shared" si="1"/>
        <v>44046</v>
      </c>
      <c r="H33" s="16">
        <f t="shared" si="2"/>
        <v>44047</v>
      </c>
      <c r="I33" s="16">
        <f t="shared" si="3"/>
        <v>44048</v>
      </c>
      <c r="J33" s="16">
        <f t="shared" si="4"/>
        <v>44049</v>
      </c>
      <c r="K33" s="16">
        <f t="shared" si="5"/>
        <v>44050</v>
      </c>
      <c r="L33" s="16">
        <f t="shared" si="6"/>
        <v>44051</v>
      </c>
    </row>
    <row r="34" spans="3:12" x14ac:dyDescent="0.25">
      <c r="C34" s="2">
        <v>33</v>
      </c>
      <c r="D34" s="12">
        <f t="shared" si="0"/>
        <v>44053</v>
      </c>
      <c r="F34" s="13" t="s">
        <v>59</v>
      </c>
      <c r="G34" s="16">
        <f t="shared" si="1"/>
        <v>44053</v>
      </c>
      <c r="H34" s="16">
        <f t="shared" si="2"/>
        <v>44054</v>
      </c>
      <c r="I34" s="16">
        <f t="shared" si="3"/>
        <v>44055</v>
      </c>
      <c r="J34" s="16">
        <f t="shared" si="4"/>
        <v>44056</v>
      </c>
      <c r="K34" s="16">
        <f t="shared" si="5"/>
        <v>44057</v>
      </c>
      <c r="L34" s="16">
        <f t="shared" si="6"/>
        <v>44058</v>
      </c>
    </row>
    <row r="35" spans="3:12" x14ac:dyDescent="0.25">
      <c r="C35" s="2">
        <v>34</v>
      </c>
      <c r="D35" s="12">
        <f t="shared" si="0"/>
        <v>44060</v>
      </c>
      <c r="F35" s="13" t="s">
        <v>60</v>
      </c>
      <c r="G35" s="16">
        <f t="shared" si="1"/>
        <v>44060</v>
      </c>
      <c r="H35" s="16">
        <f t="shared" si="2"/>
        <v>44061</v>
      </c>
      <c r="I35" s="16">
        <f t="shared" si="3"/>
        <v>44062</v>
      </c>
      <c r="J35" s="16">
        <f t="shared" si="4"/>
        <v>44063</v>
      </c>
      <c r="K35" s="16">
        <f t="shared" si="5"/>
        <v>44064</v>
      </c>
      <c r="L35" s="16">
        <f t="shared" si="6"/>
        <v>44065</v>
      </c>
    </row>
    <row r="36" spans="3:12" x14ac:dyDescent="0.25">
      <c r="C36" s="2">
        <v>35</v>
      </c>
      <c r="D36" s="12">
        <f t="shared" si="0"/>
        <v>44067</v>
      </c>
      <c r="F36" s="13" t="s">
        <v>61</v>
      </c>
      <c r="G36" s="16">
        <f t="shared" si="1"/>
        <v>44067</v>
      </c>
      <c r="H36" s="16">
        <f t="shared" si="2"/>
        <v>44068</v>
      </c>
      <c r="I36" s="16">
        <f t="shared" si="3"/>
        <v>44069</v>
      </c>
      <c r="J36" s="16">
        <f t="shared" si="4"/>
        <v>44070</v>
      </c>
      <c r="K36" s="16">
        <f t="shared" si="5"/>
        <v>44071</v>
      </c>
      <c r="L36" s="16">
        <f t="shared" si="6"/>
        <v>44072</v>
      </c>
    </row>
    <row r="37" spans="3:12" x14ac:dyDescent="0.25">
      <c r="C37" s="2">
        <v>36</v>
      </c>
      <c r="D37" s="12">
        <f t="shared" si="0"/>
        <v>44074</v>
      </c>
      <c r="F37" s="13" t="s">
        <v>62</v>
      </c>
      <c r="G37" s="16">
        <f t="shared" si="1"/>
        <v>44074</v>
      </c>
      <c r="H37" s="16">
        <f t="shared" si="2"/>
        <v>44075</v>
      </c>
      <c r="I37" s="16">
        <f t="shared" si="3"/>
        <v>44076</v>
      </c>
      <c r="J37" s="16">
        <f t="shared" si="4"/>
        <v>44077</v>
      </c>
      <c r="K37" s="16">
        <f t="shared" si="5"/>
        <v>44078</v>
      </c>
      <c r="L37" s="16">
        <f t="shared" si="6"/>
        <v>44079</v>
      </c>
    </row>
    <row r="38" spans="3:12" x14ac:dyDescent="0.25">
      <c r="C38" s="2">
        <v>37</v>
      </c>
      <c r="D38" s="12">
        <f t="shared" si="0"/>
        <v>44081</v>
      </c>
      <c r="F38" s="13" t="s">
        <v>63</v>
      </c>
      <c r="G38" s="16">
        <f t="shared" si="1"/>
        <v>44081</v>
      </c>
      <c r="H38" s="16">
        <f t="shared" si="2"/>
        <v>44082</v>
      </c>
      <c r="I38" s="16">
        <f t="shared" si="3"/>
        <v>44083</v>
      </c>
      <c r="J38" s="16">
        <f t="shared" si="4"/>
        <v>44084</v>
      </c>
      <c r="K38" s="16">
        <f t="shared" si="5"/>
        <v>44085</v>
      </c>
      <c r="L38" s="16">
        <f t="shared" si="6"/>
        <v>44086</v>
      </c>
    </row>
    <row r="39" spans="3:12" x14ac:dyDescent="0.25">
      <c r="C39" s="2">
        <v>38</v>
      </c>
      <c r="D39" s="12">
        <f t="shared" si="0"/>
        <v>44088</v>
      </c>
      <c r="F39" s="13" t="s">
        <v>64</v>
      </c>
      <c r="G39" s="16">
        <f t="shared" si="1"/>
        <v>44088</v>
      </c>
      <c r="H39" s="16">
        <f t="shared" si="2"/>
        <v>44089</v>
      </c>
      <c r="I39" s="16">
        <f t="shared" si="3"/>
        <v>44090</v>
      </c>
      <c r="J39" s="16">
        <f t="shared" si="4"/>
        <v>44091</v>
      </c>
      <c r="K39" s="16">
        <f t="shared" si="5"/>
        <v>44092</v>
      </c>
      <c r="L39" s="16">
        <f t="shared" si="6"/>
        <v>44093</v>
      </c>
    </row>
    <row r="40" spans="3:12" x14ac:dyDescent="0.25">
      <c r="C40" s="2">
        <v>39</v>
      </c>
      <c r="D40" s="12">
        <f t="shared" si="0"/>
        <v>44095</v>
      </c>
      <c r="F40" s="13" t="s">
        <v>65</v>
      </c>
      <c r="G40" s="16">
        <f t="shared" si="1"/>
        <v>44095</v>
      </c>
      <c r="H40" s="16">
        <f t="shared" si="2"/>
        <v>44096</v>
      </c>
      <c r="I40" s="16">
        <f t="shared" si="3"/>
        <v>44097</v>
      </c>
      <c r="J40" s="16">
        <f t="shared" si="4"/>
        <v>44098</v>
      </c>
      <c r="K40" s="16">
        <f t="shared" si="5"/>
        <v>44099</v>
      </c>
      <c r="L40" s="16">
        <f t="shared" si="6"/>
        <v>44100</v>
      </c>
    </row>
    <row r="41" spans="3:12" x14ac:dyDescent="0.25">
      <c r="C41" s="2">
        <v>40</v>
      </c>
      <c r="D41" s="12">
        <f t="shared" si="0"/>
        <v>44102</v>
      </c>
      <c r="F41" s="13" t="s">
        <v>66</v>
      </c>
      <c r="G41" s="16">
        <f t="shared" si="1"/>
        <v>44102</v>
      </c>
      <c r="H41" s="16">
        <f t="shared" si="2"/>
        <v>44103</v>
      </c>
      <c r="I41" s="16">
        <f t="shared" si="3"/>
        <v>44104</v>
      </c>
      <c r="J41" s="16">
        <f t="shared" si="4"/>
        <v>44105</v>
      </c>
      <c r="K41" s="16">
        <f t="shared" si="5"/>
        <v>44106</v>
      </c>
      <c r="L41" s="16">
        <f t="shared" si="6"/>
        <v>44107</v>
      </c>
    </row>
    <row r="42" spans="3:12" x14ac:dyDescent="0.25">
      <c r="C42" s="2">
        <v>41</v>
      </c>
      <c r="D42" s="12">
        <f t="shared" si="0"/>
        <v>44109</v>
      </c>
      <c r="F42" s="13" t="s">
        <v>67</v>
      </c>
      <c r="G42" s="16">
        <f t="shared" si="1"/>
        <v>44109</v>
      </c>
      <c r="H42" s="16">
        <f t="shared" si="2"/>
        <v>44110</v>
      </c>
      <c r="I42" s="16">
        <f t="shared" si="3"/>
        <v>44111</v>
      </c>
      <c r="J42" s="16">
        <f t="shared" si="4"/>
        <v>44112</v>
      </c>
      <c r="K42" s="16">
        <f t="shared" si="5"/>
        <v>44113</v>
      </c>
      <c r="L42" s="16">
        <f t="shared" si="6"/>
        <v>44114</v>
      </c>
    </row>
    <row r="43" spans="3:12" x14ac:dyDescent="0.25">
      <c r="C43" s="2">
        <v>42</v>
      </c>
      <c r="D43" s="12">
        <f t="shared" si="0"/>
        <v>44116</v>
      </c>
      <c r="F43" s="13" t="s">
        <v>68</v>
      </c>
      <c r="G43" s="16">
        <f t="shared" si="1"/>
        <v>44116</v>
      </c>
      <c r="H43" s="16">
        <f t="shared" si="2"/>
        <v>44117</v>
      </c>
      <c r="I43" s="16">
        <f t="shared" si="3"/>
        <v>44118</v>
      </c>
      <c r="J43" s="16">
        <f t="shared" si="4"/>
        <v>44119</v>
      </c>
      <c r="K43" s="16">
        <f t="shared" si="5"/>
        <v>44120</v>
      </c>
      <c r="L43" s="16">
        <f t="shared" si="6"/>
        <v>44121</v>
      </c>
    </row>
    <row r="44" spans="3:12" x14ac:dyDescent="0.25">
      <c r="C44" s="2">
        <v>43</v>
      </c>
      <c r="D44" s="12">
        <f t="shared" si="0"/>
        <v>44123</v>
      </c>
      <c r="F44" s="13" t="s">
        <v>69</v>
      </c>
      <c r="G44" s="16">
        <f t="shared" si="1"/>
        <v>44123</v>
      </c>
      <c r="H44" s="16">
        <f t="shared" si="2"/>
        <v>44124</v>
      </c>
      <c r="I44" s="16">
        <f t="shared" si="3"/>
        <v>44125</v>
      </c>
      <c r="J44" s="16">
        <f t="shared" si="4"/>
        <v>44126</v>
      </c>
      <c r="K44" s="16">
        <f t="shared" si="5"/>
        <v>44127</v>
      </c>
      <c r="L44" s="16">
        <f t="shared" si="6"/>
        <v>44128</v>
      </c>
    </row>
    <row r="45" spans="3:12" x14ac:dyDescent="0.25">
      <c r="C45" s="2">
        <v>44</v>
      </c>
      <c r="D45" s="12">
        <f t="shared" si="0"/>
        <v>44130</v>
      </c>
      <c r="F45" s="13" t="s">
        <v>70</v>
      </c>
      <c r="G45" s="16">
        <f t="shared" si="1"/>
        <v>44130</v>
      </c>
      <c r="H45" s="16">
        <f t="shared" si="2"/>
        <v>44131</v>
      </c>
      <c r="I45" s="16">
        <f t="shared" si="3"/>
        <v>44132</v>
      </c>
      <c r="J45" s="16">
        <f t="shared" si="4"/>
        <v>44133</v>
      </c>
      <c r="K45" s="16">
        <f t="shared" si="5"/>
        <v>44134</v>
      </c>
      <c r="L45" s="16">
        <f t="shared" si="6"/>
        <v>44135</v>
      </c>
    </row>
    <row r="46" spans="3:12" x14ac:dyDescent="0.25">
      <c r="C46" s="2">
        <v>45</v>
      </c>
      <c r="D46" s="12">
        <f t="shared" si="0"/>
        <v>44137</v>
      </c>
      <c r="F46" s="13" t="s">
        <v>71</v>
      </c>
      <c r="G46" s="16">
        <f t="shared" si="1"/>
        <v>44137</v>
      </c>
      <c r="H46" s="16">
        <f t="shared" si="2"/>
        <v>44138</v>
      </c>
      <c r="I46" s="16">
        <f t="shared" si="3"/>
        <v>44139</v>
      </c>
      <c r="J46" s="16">
        <f t="shared" si="4"/>
        <v>44140</v>
      </c>
      <c r="K46" s="16">
        <f t="shared" si="5"/>
        <v>44141</v>
      </c>
      <c r="L46" s="16">
        <f t="shared" si="6"/>
        <v>44142</v>
      </c>
    </row>
    <row r="47" spans="3:12" x14ac:dyDescent="0.25">
      <c r="C47" s="2">
        <v>46</v>
      </c>
      <c r="D47" s="12">
        <f t="shared" si="0"/>
        <v>44144</v>
      </c>
      <c r="F47" s="13" t="s">
        <v>72</v>
      </c>
      <c r="G47" s="16">
        <f t="shared" si="1"/>
        <v>44144</v>
      </c>
      <c r="H47" s="16">
        <f t="shared" si="2"/>
        <v>44145</v>
      </c>
      <c r="I47" s="16">
        <f t="shared" si="3"/>
        <v>44146</v>
      </c>
      <c r="J47" s="16">
        <f t="shared" si="4"/>
        <v>44147</v>
      </c>
      <c r="K47" s="16">
        <f t="shared" si="5"/>
        <v>44148</v>
      </c>
      <c r="L47" s="16">
        <f t="shared" si="6"/>
        <v>44149</v>
      </c>
    </row>
    <row r="48" spans="3:12" x14ac:dyDescent="0.25">
      <c r="C48" s="2">
        <v>47</v>
      </c>
      <c r="D48" s="12">
        <f t="shared" si="0"/>
        <v>44151</v>
      </c>
      <c r="F48" s="13" t="s">
        <v>73</v>
      </c>
      <c r="G48" s="16">
        <f t="shared" si="1"/>
        <v>44151</v>
      </c>
      <c r="H48" s="16">
        <f t="shared" si="2"/>
        <v>44152</v>
      </c>
      <c r="I48" s="16">
        <f t="shared" si="3"/>
        <v>44153</v>
      </c>
      <c r="J48" s="16">
        <f t="shared" si="4"/>
        <v>44154</v>
      </c>
      <c r="K48" s="16">
        <f t="shared" si="5"/>
        <v>44155</v>
      </c>
      <c r="L48" s="16">
        <f t="shared" si="6"/>
        <v>44156</v>
      </c>
    </row>
    <row r="49" spans="3:12" x14ac:dyDescent="0.25">
      <c r="C49" s="2">
        <v>48</v>
      </c>
      <c r="D49" s="12">
        <f t="shared" si="0"/>
        <v>44158</v>
      </c>
      <c r="F49" s="13" t="s">
        <v>74</v>
      </c>
      <c r="G49" s="16">
        <f t="shared" si="1"/>
        <v>44158</v>
      </c>
      <c r="H49" s="16">
        <f t="shared" si="2"/>
        <v>44159</v>
      </c>
      <c r="I49" s="16">
        <f t="shared" si="3"/>
        <v>44160</v>
      </c>
      <c r="J49" s="16">
        <f t="shared" si="4"/>
        <v>44161</v>
      </c>
      <c r="K49" s="16">
        <f t="shared" si="5"/>
        <v>44162</v>
      </c>
      <c r="L49" s="16">
        <f t="shared" si="6"/>
        <v>44163</v>
      </c>
    </row>
    <row r="50" spans="3:12" x14ac:dyDescent="0.25">
      <c r="C50" s="2">
        <v>49</v>
      </c>
      <c r="D50" s="12">
        <f t="shared" si="0"/>
        <v>44165</v>
      </c>
      <c r="F50" s="13" t="s">
        <v>75</v>
      </c>
      <c r="G50" s="16">
        <f t="shared" si="1"/>
        <v>44165</v>
      </c>
      <c r="H50" s="16">
        <f t="shared" si="2"/>
        <v>44166</v>
      </c>
      <c r="I50" s="16">
        <f t="shared" si="3"/>
        <v>44167</v>
      </c>
      <c r="J50" s="16">
        <f t="shared" si="4"/>
        <v>44168</v>
      </c>
      <c r="K50" s="16">
        <f t="shared" si="5"/>
        <v>44169</v>
      </c>
      <c r="L50" s="16">
        <f t="shared" si="6"/>
        <v>44170</v>
      </c>
    </row>
    <row r="51" spans="3:12" x14ac:dyDescent="0.25">
      <c r="C51" s="2">
        <v>50</v>
      </c>
      <c r="D51" s="12">
        <f t="shared" si="0"/>
        <v>44172</v>
      </c>
      <c r="F51" s="13" t="s">
        <v>76</v>
      </c>
      <c r="G51" s="16">
        <f t="shared" si="1"/>
        <v>44172</v>
      </c>
      <c r="H51" s="16">
        <f t="shared" si="2"/>
        <v>44173</v>
      </c>
      <c r="I51" s="16">
        <f t="shared" si="3"/>
        <v>44174</v>
      </c>
      <c r="J51" s="16">
        <f t="shared" si="4"/>
        <v>44175</v>
      </c>
      <c r="K51" s="16">
        <f t="shared" si="5"/>
        <v>44176</v>
      </c>
      <c r="L51" s="16">
        <f t="shared" si="6"/>
        <v>44177</v>
      </c>
    </row>
    <row r="52" spans="3:12" x14ac:dyDescent="0.25">
      <c r="C52" s="2">
        <v>51</v>
      </c>
      <c r="D52" s="12">
        <f t="shared" si="0"/>
        <v>44179</v>
      </c>
      <c r="F52" s="13" t="s">
        <v>77</v>
      </c>
      <c r="G52" s="16">
        <f t="shared" si="1"/>
        <v>44179</v>
      </c>
      <c r="H52" s="16">
        <f t="shared" si="2"/>
        <v>44180</v>
      </c>
      <c r="I52" s="16">
        <f t="shared" si="3"/>
        <v>44181</v>
      </c>
      <c r="J52" s="16">
        <f t="shared" si="4"/>
        <v>44182</v>
      </c>
      <c r="K52" s="16">
        <f t="shared" si="5"/>
        <v>44183</v>
      </c>
      <c r="L52" s="16">
        <f t="shared" si="6"/>
        <v>44184</v>
      </c>
    </row>
    <row r="53" spans="3:12" x14ac:dyDescent="0.25">
      <c r="C53" s="2">
        <v>52</v>
      </c>
      <c r="D53" s="12">
        <f t="shared" si="0"/>
        <v>44186</v>
      </c>
      <c r="F53" s="13" t="s">
        <v>78</v>
      </c>
      <c r="G53" s="16">
        <f t="shared" si="1"/>
        <v>44186</v>
      </c>
      <c r="H53" s="16">
        <f t="shared" si="2"/>
        <v>44187</v>
      </c>
      <c r="I53" s="16">
        <f t="shared" si="3"/>
        <v>44188</v>
      </c>
      <c r="J53" s="16">
        <f t="shared" si="4"/>
        <v>44189</v>
      </c>
      <c r="K53" s="16">
        <f t="shared" si="5"/>
        <v>44190</v>
      </c>
      <c r="L53" s="16">
        <f t="shared" si="6"/>
        <v>44191</v>
      </c>
    </row>
    <row r="54" spans="3:12" x14ac:dyDescent="0.25">
      <c r="C54" s="2">
        <v>53</v>
      </c>
      <c r="D54" s="12">
        <f t="shared" si="0"/>
        <v>44193</v>
      </c>
      <c r="F54" s="13" t="s">
        <v>79</v>
      </c>
      <c r="G54" s="16">
        <f t="shared" si="1"/>
        <v>44193</v>
      </c>
      <c r="H54" s="16">
        <f t="shared" si="2"/>
        <v>44194</v>
      </c>
      <c r="I54" s="16">
        <f t="shared" si="3"/>
        <v>44195</v>
      </c>
      <c r="J54" s="16">
        <f t="shared" si="4"/>
        <v>44196</v>
      </c>
      <c r="K54" s="16">
        <f t="shared" si="5"/>
        <v>44197</v>
      </c>
      <c r="L54" s="16">
        <f t="shared" si="6"/>
        <v>44198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7F4259-6E92-4429-BBC8-197A1F9CC075}">
  <sheetPr codeName="Feuil1">
    <tabColor theme="1" tint="0.14999847407452621"/>
    <pageSetUpPr fitToPage="1"/>
  </sheetPr>
  <dimension ref="A1:AU150"/>
  <sheetViews>
    <sheetView showGridLines="0" showZeros="0" zoomScale="103" zoomScaleNormal="103" workbookViewId="0">
      <selection activeCell="C31" sqref="C31"/>
    </sheetView>
  </sheetViews>
  <sheetFormatPr baseColWidth="10" defaultColWidth="11.42578125" defaultRowHeight="16.5" x14ac:dyDescent="0.3"/>
  <cols>
    <col min="1" max="1" width="2.42578125" style="64" customWidth="1"/>
    <col min="2" max="2" width="26.85546875" style="38" bestFit="1" customWidth="1"/>
    <col min="3" max="4" width="13.85546875" style="39" customWidth="1"/>
    <col min="5" max="5" width="13.85546875" style="40" customWidth="1"/>
    <col min="6" max="6" width="13.85546875" style="41" customWidth="1"/>
    <col min="7" max="7" width="5.140625" style="64" customWidth="1"/>
    <col min="8" max="8" width="26.85546875" style="38" bestFit="1" customWidth="1"/>
    <col min="9" max="12" width="13.85546875" style="38" customWidth="1"/>
    <col min="13" max="28" width="11.42578125" style="74"/>
    <col min="29" max="29" width="11.42578125" style="64"/>
    <col min="30" max="16384" width="11.42578125" style="38"/>
  </cols>
  <sheetData>
    <row r="1" spans="1:47" s="64" customFormat="1" ht="8.25" customHeight="1" x14ac:dyDescent="0.3">
      <c r="A1" s="99"/>
      <c r="B1" s="99"/>
      <c r="C1" s="100"/>
      <c r="D1" s="100"/>
      <c r="E1" s="101"/>
      <c r="F1" s="102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99"/>
      <c r="AG1" s="99"/>
      <c r="AH1" s="99"/>
      <c r="AI1" s="99"/>
      <c r="AJ1" s="99"/>
      <c r="AK1" s="99"/>
      <c r="AL1" s="99"/>
      <c r="AM1" s="99"/>
      <c r="AN1" s="99"/>
      <c r="AO1" s="99"/>
      <c r="AP1" s="99"/>
      <c r="AQ1" s="99"/>
      <c r="AR1" s="99"/>
      <c r="AS1" s="99"/>
      <c r="AT1" s="99"/>
      <c r="AU1" s="99"/>
    </row>
    <row r="2" spans="1:47" s="64" customFormat="1" ht="8.25" customHeight="1" thickBot="1" x14ac:dyDescent="0.35">
      <c r="A2" s="99"/>
      <c r="B2" s="103"/>
      <c r="C2" s="100"/>
      <c r="D2" s="100"/>
      <c r="E2" s="104"/>
      <c r="F2" s="104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99"/>
      <c r="AG2" s="99"/>
      <c r="AH2" s="99"/>
      <c r="AI2" s="99"/>
      <c r="AJ2" s="99"/>
      <c r="AK2" s="99"/>
      <c r="AL2" s="99"/>
      <c r="AM2" s="99"/>
      <c r="AN2" s="99"/>
      <c r="AO2" s="99"/>
      <c r="AP2" s="99"/>
      <c r="AQ2" s="99"/>
      <c r="AR2" s="99"/>
      <c r="AS2" s="99"/>
      <c r="AT2" s="99"/>
      <c r="AU2" s="99"/>
    </row>
    <row r="3" spans="1:47" s="47" customFormat="1" ht="33.75" customHeight="1" x14ac:dyDescent="0.25">
      <c r="A3" s="105"/>
      <c r="B3" s="194" t="s">
        <v>91</v>
      </c>
      <c r="C3" s="195"/>
      <c r="D3" s="195"/>
      <c r="E3" s="195"/>
      <c r="F3" s="196"/>
      <c r="G3" s="105"/>
      <c r="H3" s="194" t="s">
        <v>88</v>
      </c>
      <c r="I3" s="195"/>
      <c r="J3" s="195"/>
      <c r="K3" s="195"/>
      <c r="L3" s="196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Y3" s="105"/>
      <c r="Z3" s="105"/>
      <c r="AA3" s="105"/>
      <c r="AB3" s="105"/>
      <c r="AC3" s="105"/>
      <c r="AD3" s="105"/>
      <c r="AE3" s="105"/>
      <c r="AF3" s="105"/>
      <c r="AG3" s="105"/>
      <c r="AH3" s="105"/>
      <c r="AI3" s="105"/>
      <c r="AJ3" s="105"/>
      <c r="AK3" s="105"/>
      <c r="AL3" s="105"/>
      <c r="AM3" s="105"/>
      <c r="AN3" s="105"/>
      <c r="AO3" s="105"/>
      <c r="AP3" s="105"/>
      <c r="AQ3" s="105"/>
      <c r="AR3" s="105"/>
      <c r="AS3" s="105"/>
      <c r="AT3" s="105"/>
      <c r="AU3" s="105"/>
    </row>
    <row r="4" spans="1:47" s="42" customFormat="1" ht="42.75" x14ac:dyDescent="0.25">
      <c r="A4" s="106"/>
      <c r="B4" s="197" t="s">
        <v>3</v>
      </c>
      <c r="C4" s="198"/>
      <c r="D4" s="111" t="s">
        <v>99</v>
      </c>
      <c r="E4" s="112" t="s">
        <v>83</v>
      </c>
      <c r="F4" s="113" t="s">
        <v>8</v>
      </c>
      <c r="G4" s="106"/>
      <c r="H4" s="197" t="s">
        <v>3</v>
      </c>
      <c r="I4" s="198"/>
      <c r="J4" s="111" t="s">
        <v>99</v>
      </c>
      <c r="K4" s="112" t="s">
        <v>83</v>
      </c>
      <c r="L4" s="113" t="s">
        <v>8</v>
      </c>
      <c r="M4" s="106"/>
      <c r="N4" s="106"/>
      <c r="O4" s="106"/>
      <c r="P4" s="106"/>
      <c r="Q4" s="106"/>
      <c r="R4" s="106"/>
      <c r="S4" s="106"/>
      <c r="T4" s="106"/>
      <c r="U4" s="106"/>
      <c r="V4" s="106"/>
      <c r="W4" s="106"/>
      <c r="X4" s="106"/>
      <c r="Y4" s="106"/>
      <c r="Z4" s="106"/>
      <c r="AA4" s="106"/>
      <c r="AB4" s="106"/>
      <c r="AC4" s="106"/>
      <c r="AD4" s="106"/>
      <c r="AE4" s="106"/>
      <c r="AF4" s="106"/>
      <c r="AG4" s="106"/>
      <c r="AH4" s="106"/>
      <c r="AI4" s="106"/>
      <c r="AJ4" s="106"/>
      <c r="AK4" s="106"/>
      <c r="AL4" s="106"/>
      <c r="AM4" s="106"/>
      <c r="AN4" s="106"/>
      <c r="AO4" s="106"/>
      <c r="AP4" s="106"/>
      <c r="AQ4" s="106"/>
      <c r="AR4" s="106"/>
      <c r="AS4" s="106"/>
      <c r="AT4" s="106"/>
      <c r="AU4" s="106"/>
    </row>
    <row r="5" spans="1:47" x14ac:dyDescent="0.3">
      <c r="A5" s="99"/>
      <c r="B5" s="128" t="s">
        <v>92</v>
      </c>
      <c r="C5" s="129">
        <f t="shared" ref="C5:C10" si="0">I5+C22+I22</f>
        <v>30</v>
      </c>
      <c r="D5" s="130">
        <v>0</v>
      </c>
      <c r="E5" s="131">
        <f ca="1">(D5/(C5/365*Données!$B$3))</f>
        <v>0</v>
      </c>
      <c r="F5" s="132">
        <f t="shared" ref="F5:F10" si="1">IFERROR(D5/C5,"")</f>
        <v>0</v>
      </c>
      <c r="G5" s="99"/>
      <c r="H5" s="128" t="s">
        <v>92</v>
      </c>
      <c r="I5" s="129">
        <v>10</v>
      </c>
      <c r="J5" s="130">
        <v>0</v>
      </c>
      <c r="K5" s="131">
        <f ca="1">(J5/(I5/365*Données!$B$3))</f>
        <v>0</v>
      </c>
      <c r="L5" s="132">
        <f t="shared" ref="L5:L10" si="2">IFERROR(J5/I5,"")</f>
        <v>0</v>
      </c>
      <c r="M5" s="99"/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  <c r="AA5" s="99"/>
      <c r="AB5" s="99"/>
      <c r="AC5" s="99"/>
      <c r="AD5" s="99"/>
      <c r="AE5" s="99"/>
      <c r="AF5" s="99"/>
      <c r="AG5" s="99"/>
      <c r="AH5" s="99"/>
      <c r="AI5" s="99"/>
      <c r="AJ5" s="99"/>
      <c r="AK5" s="99"/>
      <c r="AL5" s="99"/>
      <c r="AM5" s="99"/>
      <c r="AN5" s="99"/>
      <c r="AO5" s="99"/>
      <c r="AP5" s="99"/>
      <c r="AQ5" s="99"/>
      <c r="AR5" s="99"/>
      <c r="AS5" s="99"/>
      <c r="AT5" s="99"/>
      <c r="AU5" s="99"/>
    </row>
    <row r="6" spans="1:47" x14ac:dyDescent="0.3">
      <c r="A6" s="99"/>
      <c r="B6" s="128" t="s">
        <v>93</v>
      </c>
      <c r="C6" s="129">
        <f t="shared" si="0"/>
        <v>30</v>
      </c>
      <c r="D6" s="129">
        <v>0</v>
      </c>
      <c r="E6" s="131">
        <f ca="1">(D6/(C6/365*Données!$B$3))</f>
        <v>0</v>
      </c>
      <c r="F6" s="132">
        <f t="shared" si="1"/>
        <v>0</v>
      </c>
      <c r="G6" s="99"/>
      <c r="H6" s="128" t="s">
        <v>93</v>
      </c>
      <c r="I6" s="129">
        <v>10</v>
      </c>
      <c r="J6" s="129">
        <v>0</v>
      </c>
      <c r="K6" s="131">
        <f ca="1">(J6/(I6/365*Données!$B$3))</f>
        <v>0</v>
      </c>
      <c r="L6" s="132">
        <f t="shared" si="2"/>
        <v>0</v>
      </c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99"/>
      <c r="AU6" s="99"/>
    </row>
    <row r="7" spans="1:47" x14ac:dyDescent="0.3">
      <c r="A7" s="99"/>
      <c r="B7" s="128" t="s">
        <v>94</v>
      </c>
      <c r="C7" s="129">
        <f t="shared" si="0"/>
        <v>30</v>
      </c>
      <c r="D7" s="129">
        <v>0</v>
      </c>
      <c r="E7" s="131">
        <f ca="1">(D7/(C7/365*Données!$B$3))</f>
        <v>0</v>
      </c>
      <c r="F7" s="132">
        <f t="shared" si="1"/>
        <v>0</v>
      </c>
      <c r="G7" s="99"/>
      <c r="H7" s="128" t="s">
        <v>94</v>
      </c>
      <c r="I7" s="129">
        <v>10</v>
      </c>
      <c r="J7" s="129">
        <v>0</v>
      </c>
      <c r="K7" s="131">
        <f ca="1">(J7/(I7/365*Données!$B$3))</f>
        <v>0</v>
      </c>
      <c r="L7" s="132">
        <f t="shared" si="2"/>
        <v>0</v>
      </c>
      <c r="M7" s="99"/>
      <c r="N7" s="99"/>
      <c r="O7" s="99"/>
      <c r="P7" s="99"/>
      <c r="Q7" s="99"/>
      <c r="R7" s="99"/>
      <c r="S7" s="99"/>
      <c r="T7" s="99"/>
      <c r="U7" s="99"/>
      <c r="V7" s="99"/>
      <c r="W7" s="99"/>
      <c r="X7" s="99"/>
      <c r="Y7" s="99"/>
      <c r="Z7" s="99"/>
      <c r="AA7" s="99"/>
      <c r="AB7" s="99"/>
      <c r="AC7" s="99"/>
      <c r="AD7" s="99"/>
      <c r="AE7" s="99"/>
      <c r="AF7" s="99"/>
      <c r="AG7" s="99"/>
      <c r="AH7" s="99"/>
      <c r="AI7" s="99"/>
      <c r="AJ7" s="99"/>
      <c r="AK7" s="99"/>
      <c r="AL7" s="99"/>
      <c r="AM7" s="99"/>
      <c r="AN7" s="99"/>
      <c r="AO7" s="99"/>
      <c r="AP7" s="99"/>
      <c r="AQ7" s="99"/>
      <c r="AR7" s="99"/>
      <c r="AS7" s="99"/>
      <c r="AT7" s="99"/>
      <c r="AU7" s="99"/>
    </row>
    <row r="8" spans="1:47" x14ac:dyDescent="0.3">
      <c r="A8" s="99"/>
      <c r="B8" s="128" t="s">
        <v>95</v>
      </c>
      <c r="C8" s="129">
        <f t="shared" si="0"/>
        <v>30</v>
      </c>
      <c r="D8" s="129">
        <v>0</v>
      </c>
      <c r="E8" s="131">
        <f ca="1">(D8/(C8/365*Données!$B$3))</f>
        <v>0</v>
      </c>
      <c r="F8" s="132">
        <f t="shared" si="1"/>
        <v>0</v>
      </c>
      <c r="G8" s="99"/>
      <c r="H8" s="128" t="s">
        <v>95</v>
      </c>
      <c r="I8" s="129">
        <v>10</v>
      </c>
      <c r="J8" s="129">
        <v>0</v>
      </c>
      <c r="K8" s="131">
        <f ca="1">(J8/(I8/365*Données!$B$3))</f>
        <v>0</v>
      </c>
      <c r="L8" s="132">
        <f t="shared" si="2"/>
        <v>0</v>
      </c>
      <c r="M8" s="99"/>
      <c r="N8" s="99"/>
      <c r="O8" s="99"/>
      <c r="P8" s="99"/>
      <c r="Q8" s="99"/>
      <c r="R8" s="99"/>
      <c r="S8" s="99"/>
      <c r="T8" s="99"/>
      <c r="U8" s="99"/>
      <c r="V8" s="99"/>
      <c r="W8" s="99"/>
      <c r="X8" s="99"/>
      <c r="Y8" s="99"/>
      <c r="Z8" s="99"/>
      <c r="AA8" s="99"/>
      <c r="AB8" s="99"/>
      <c r="AC8" s="99"/>
      <c r="AD8" s="99"/>
      <c r="AE8" s="99"/>
      <c r="AF8" s="99"/>
      <c r="AG8" s="99"/>
      <c r="AH8" s="99"/>
      <c r="AI8" s="99"/>
      <c r="AJ8" s="99"/>
      <c r="AK8" s="99"/>
      <c r="AL8" s="99"/>
      <c r="AM8" s="99"/>
      <c r="AN8" s="99"/>
      <c r="AO8" s="99"/>
      <c r="AP8" s="99"/>
      <c r="AQ8" s="99"/>
      <c r="AR8" s="99"/>
      <c r="AS8" s="99"/>
      <c r="AT8" s="99"/>
      <c r="AU8" s="99"/>
    </row>
    <row r="9" spans="1:47" x14ac:dyDescent="0.3">
      <c r="A9" s="99"/>
      <c r="B9" s="128" t="s">
        <v>96</v>
      </c>
      <c r="C9" s="129">
        <f t="shared" si="0"/>
        <v>30</v>
      </c>
      <c r="D9" s="129">
        <v>0</v>
      </c>
      <c r="E9" s="131">
        <f ca="1">(D9/(C9/365*Données!$B$3))</f>
        <v>0</v>
      </c>
      <c r="F9" s="132">
        <f t="shared" si="1"/>
        <v>0</v>
      </c>
      <c r="G9" s="99"/>
      <c r="H9" s="128" t="s">
        <v>96</v>
      </c>
      <c r="I9" s="129">
        <v>10</v>
      </c>
      <c r="J9" s="129">
        <v>0</v>
      </c>
      <c r="K9" s="131">
        <f ca="1">(J9/(I9/365*Données!$B$3))</f>
        <v>0</v>
      </c>
      <c r="L9" s="132">
        <f t="shared" si="2"/>
        <v>0</v>
      </c>
      <c r="M9" s="99"/>
      <c r="N9" s="99"/>
      <c r="O9" s="99"/>
      <c r="P9" s="99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  <c r="AO9" s="99"/>
      <c r="AP9" s="99"/>
      <c r="AQ9" s="99"/>
      <c r="AR9" s="99"/>
      <c r="AS9" s="99"/>
      <c r="AT9" s="99"/>
      <c r="AU9" s="99"/>
    </row>
    <row r="10" spans="1:47" x14ac:dyDescent="0.3">
      <c r="A10" s="99"/>
      <c r="B10" s="128" t="s">
        <v>97</v>
      </c>
      <c r="C10" s="152">
        <f t="shared" si="0"/>
        <v>30</v>
      </c>
      <c r="D10" s="152">
        <v>0</v>
      </c>
      <c r="E10" s="153">
        <f ca="1">(D10/(C10/365*Données!$B$3))</f>
        <v>0</v>
      </c>
      <c r="F10" s="154">
        <f t="shared" si="1"/>
        <v>0</v>
      </c>
      <c r="G10" s="99"/>
      <c r="H10" s="128" t="s">
        <v>97</v>
      </c>
      <c r="I10" s="152">
        <v>10</v>
      </c>
      <c r="J10" s="152">
        <v>0</v>
      </c>
      <c r="K10" s="153">
        <f ca="1">(J10/(I10/365*Données!$B$3))</f>
        <v>0</v>
      </c>
      <c r="L10" s="154">
        <f t="shared" si="2"/>
        <v>0</v>
      </c>
      <c r="M10" s="99"/>
      <c r="N10" s="99"/>
      <c r="O10" s="99"/>
      <c r="P10" s="99"/>
      <c r="Q10" s="99"/>
      <c r="R10" s="99"/>
      <c r="S10" s="99"/>
      <c r="T10" s="99"/>
      <c r="U10" s="99"/>
      <c r="V10" s="99"/>
      <c r="W10" s="99"/>
      <c r="X10" s="99"/>
      <c r="Y10" s="99"/>
      <c r="Z10" s="99"/>
      <c r="AA10" s="99"/>
      <c r="AB10" s="99"/>
      <c r="AC10" s="99"/>
      <c r="AD10" s="99"/>
      <c r="AE10" s="99"/>
      <c r="AF10" s="99"/>
      <c r="AG10" s="99"/>
      <c r="AH10" s="99"/>
      <c r="AI10" s="99"/>
      <c r="AJ10" s="99"/>
      <c r="AK10" s="99"/>
      <c r="AL10" s="99"/>
      <c r="AM10" s="99"/>
      <c r="AN10" s="99"/>
      <c r="AO10" s="99"/>
      <c r="AP10" s="99"/>
      <c r="AQ10" s="99"/>
      <c r="AR10" s="99"/>
      <c r="AS10" s="99"/>
      <c r="AT10" s="99"/>
      <c r="AU10" s="99"/>
    </row>
    <row r="11" spans="1:47" ht="17.25" thickBot="1" x14ac:dyDescent="0.35">
      <c r="A11" s="99"/>
      <c r="B11" s="133" t="s">
        <v>98</v>
      </c>
      <c r="C11" s="134"/>
      <c r="D11" s="134"/>
      <c r="E11" s="135"/>
      <c r="F11" s="136"/>
      <c r="G11" s="99"/>
      <c r="H11" s="133" t="s">
        <v>98</v>
      </c>
      <c r="I11" s="134">
        <v>10</v>
      </c>
      <c r="J11" s="134"/>
      <c r="K11" s="135"/>
      <c r="L11" s="136"/>
      <c r="M11" s="99"/>
      <c r="N11" s="99"/>
      <c r="O11" s="99"/>
      <c r="P11" s="99"/>
      <c r="Q11" s="99"/>
      <c r="R11" s="99"/>
      <c r="S11" s="99"/>
      <c r="T11" s="99"/>
      <c r="U11" s="99"/>
      <c r="V11" s="99"/>
      <c r="W11" s="99"/>
      <c r="X11" s="99"/>
      <c r="Y11" s="99"/>
      <c r="Z11" s="99"/>
      <c r="AA11" s="99"/>
      <c r="AB11" s="99"/>
      <c r="AC11" s="99"/>
      <c r="AD11" s="99"/>
      <c r="AE11" s="99"/>
      <c r="AF11" s="99"/>
      <c r="AG11" s="99"/>
      <c r="AH11" s="99"/>
      <c r="AI11" s="99"/>
      <c r="AJ11" s="99"/>
      <c r="AK11" s="99"/>
      <c r="AL11" s="99"/>
      <c r="AM11" s="99"/>
      <c r="AN11" s="99"/>
      <c r="AO11" s="99"/>
      <c r="AP11" s="99"/>
      <c r="AQ11" s="99"/>
      <c r="AR11" s="99"/>
      <c r="AS11" s="99"/>
      <c r="AT11" s="99"/>
      <c r="AU11" s="99"/>
    </row>
    <row r="12" spans="1:47" s="64" customFormat="1" ht="11.25" customHeight="1" x14ac:dyDescent="0.3">
      <c r="A12" s="99"/>
      <c r="B12" s="99"/>
      <c r="C12" s="100"/>
      <c r="D12" s="100"/>
      <c r="E12" s="101"/>
      <c r="F12" s="102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</row>
    <row r="13" spans="1:47" s="64" customFormat="1" ht="9.9499999999999993" customHeight="1" x14ac:dyDescent="0.3">
      <c r="A13" s="99"/>
      <c r="B13" s="99"/>
      <c r="C13" s="100"/>
      <c r="D13" s="100"/>
      <c r="E13" s="101"/>
      <c r="F13" s="102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99"/>
      <c r="U13" s="99"/>
      <c r="V13" s="99"/>
      <c r="W13" s="9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9"/>
      <c r="AL13" s="99"/>
      <c r="AM13" s="99"/>
      <c r="AN13" s="99"/>
      <c r="AO13" s="99"/>
      <c r="AP13" s="99"/>
      <c r="AQ13" s="99"/>
      <c r="AR13" s="99"/>
      <c r="AS13" s="99"/>
      <c r="AT13" s="99"/>
      <c r="AU13" s="99"/>
    </row>
    <row r="14" spans="1:47" s="65" customFormat="1" ht="9.9499999999999993" customHeight="1" x14ac:dyDescent="0.3">
      <c r="A14" s="107"/>
      <c r="B14" s="107"/>
      <c r="C14" s="108"/>
      <c r="D14" s="108"/>
      <c r="E14" s="109"/>
      <c r="F14" s="110"/>
      <c r="G14" s="107"/>
      <c r="H14" s="107"/>
      <c r="I14" s="107"/>
      <c r="J14" s="107"/>
      <c r="K14" s="107"/>
      <c r="L14" s="107"/>
      <c r="M14" s="107"/>
      <c r="N14" s="107"/>
      <c r="O14" s="107"/>
      <c r="P14" s="107"/>
      <c r="Q14" s="107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07"/>
      <c r="AD14" s="107"/>
      <c r="AE14" s="107"/>
      <c r="AF14" s="107"/>
      <c r="AG14" s="107"/>
      <c r="AH14" s="107"/>
      <c r="AI14" s="107"/>
      <c r="AJ14" s="107"/>
      <c r="AK14" s="107"/>
      <c r="AL14" s="107"/>
      <c r="AM14" s="107"/>
      <c r="AN14" s="107"/>
      <c r="AO14" s="107"/>
      <c r="AP14" s="107"/>
      <c r="AQ14" s="107"/>
      <c r="AR14" s="107"/>
      <c r="AS14" s="107"/>
      <c r="AT14" s="107"/>
      <c r="AU14" s="107"/>
    </row>
    <row r="15" spans="1:47" s="64" customFormat="1" ht="9.9499999999999993" customHeight="1" x14ac:dyDescent="0.3">
      <c r="A15" s="99"/>
      <c r="B15" s="99"/>
      <c r="C15" s="100"/>
      <c r="D15" s="100"/>
      <c r="E15" s="101"/>
      <c r="F15" s="102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  <c r="AL15" s="99"/>
      <c r="AM15" s="99"/>
      <c r="AN15" s="99"/>
      <c r="AO15" s="99"/>
      <c r="AP15" s="99"/>
      <c r="AQ15" s="99"/>
      <c r="AR15" s="99"/>
      <c r="AS15" s="99"/>
      <c r="AT15" s="99"/>
      <c r="AU15" s="99"/>
    </row>
    <row r="16" spans="1:47" s="64" customFormat="1" ht="9.9499999999999993" customHeight="1" x14ac:dyDescent="0.3">
      <c r="A16" s="99"/>
      <c r="B16" s="99"/>
      <c r="C16" s="100"/>
      <c r="D16" s="100"/>
      <c r="E16" s="101"/>
      <c r="F16" s="102"/>
      <c r="G16" s="99"/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99"/>
      <c r="V16" s="99"/>
      <c r="W16" s="99"/>
      <c r="X16" s="99"/>
      <c r="Y16" s="99"/>
      <c r="Z16" s="99"/>
      <c r="AA16" s="99"/>
      <c r="AB16" s="99"/>
      <c r="AC16" s="99"/>
      <c r="AD16" s="99"/>
      <c r="AE16" s="99"/>
      <c r="AF16" s="99"/>
      <c r="AG16" s="99"/>
      <c r="AH16" s="99"/>
      <c r="AI16" s="99"/>
      <c r="AJ16" s="99"/>
      <c r="AK16" s="99"/>
      <c r="AL16" s="99"/>
      <c r="AM16" s="99"/>
      <c r="AN16" s="99"/>
      <c r="AO16" s="99"/>
      <c r="AP16" s="99"/>
      <c r="AQ16" s="99"/>
      <c r="AR16" s="99"/>
      <c r="AS16" s="99"/>
      <c r="AT16" s="99"/>
      <c r="AU16" s="99"/>
    </row>
    <row r="17" spans="1:47" s="64" customFormat="1" ht="9.9499999999999993" customHeight="1" x14ac:dyDescent="0.3">
      <c r="A17" s="99"/>
      <c r="B17" s="99"/>
      <c r="C17" s="100"/>
      <c r="D17" s="100"/>
      <c r="E17" s="101"/>
      <c r="F17" s="102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99"/>
      <c r="AH17" s="99"/>
      <c r="AI17" s="99"/>
      <c r="AJ17" s="99"/>
      <c r="AK17" s="99"/>
      <c r="AL17" s="99"/>
      <c r="AM17" s="99"/>
      <c r="AN17" s="99"/>
      <c r="AO17" s="99"/>
      <c r="AP17" s="99"/>
      <c r="AQ17" s="99"/>
      <c r="AR17" s="99"/>
      <c r="AS17" s="99"/>
      <c r="AT17" s="99"/>
      <c r="AU17" s="99"/>
    </row>
    <row r="18" spans="1:47" s="64" customFormat="1" ht="9.9499999999999993" customHeight="1" x14ac:dyDescent="0.3">
      <c r="A18" s="99"/>
      <c r="B18" s="99"/>
      <c r="C18" s="100"/>
      <c r="D18" s="100"/>
      <c r="E18" s="101"/>
      <c r="F18" s="102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99"/>
      <c r="AP18" s="99"/>
      <c r="AQ18" s="99"/>
      <c r="AR18" s="99"/>
      <c r="AS18" s="99"/>
      <c r="AT18" s="99"/>
      <c r="AU18" s="99"/>
    </row>
    <row r="19" spans="1:47" s="64" customFormat="1" ht="18" customHeight="1" thickBot="1" x14ac:dyDescent="0.35">
      <c r="A19" s="99"/>
      <c r="B19" s="99"/>
      <c r="C19" s="100"/>
      <c r="D19" s="100"/>
      <c r="E19" s="101"/>
      <c r="F19" s="102"/>
      <c r="G19" s="99"/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/>
      <c r="X19" s="99"/>
      <c r="Y19" s="99"/>
      <c r="Z19" s="99"/>
      <c r="AA19" s="99"/>
      <c r="AB19" s="99"/>
      <c r="AC19" s="99"/>
      <c r="AD19" s="99"/>
      <c r="AE19" s="99"/>
      <c r="AF19" s="99"/>
      <c r="AG19" s="99"/>
      <c r="AH19" s="99"/>
      <c r="AI19" s="99"/>
      <c r="AJ19" s="99"/>
      <c r="AK19" s="99"/>
      <c r="AL19" s="99"/>
      <c r="AM19" s="99"/>
      <c r="AN19" s="99"/>
      <c r="AO19" s="99"/>
      <c r="AP19" s="99"/>
      <c r="AQ19" s="99"/>
      <c r="AR19" s="99"/>
      <c r="AS19" s="99"/>
      <c r="AT19" s="99"/>
      <c r="AU19" s="99"/>
    </row>
    <row r="20" spans="1:47" s="47" customFormat="1" ht="33.75" customHeight="1" x14ac:dyDescent="0.25">
      <c r="A20" s="105"/>
      <c r="B20" s="194" t="s">
        <v>89</v>
      </c>
      <c r="C20" s="195"/>
      <c r="D20" s="195"/>
      <c r="E20" s="195"/>
      <c r="F20" s="196"/>
      <c r="G20" s="105"/>
      <c r="H20" s="194" t="s">
        <v>90</v>
      </c>
      <c r="I20" s="195"/>
      <c r="J20" s="195"/>
      <c r="K20" s="195"/>
      <c r="L20" s="196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05"/>
      <c r="AU20" s="105"/>
    </row>
    <row r="21" spans="1:47" ht="42.75" x14ac:dyDescent="0.3">
      <c r="A21" s="99"/>
      <c r="B21" s="197" t="s">
        <v>3</v>
      </c>
      <c r="C21" s="198"/>
      <c r="D21" s="155" t="s">
        <v>99</v>
      </c>
      <c r="E21" s="112" t="s">
        <v>83</v>
      </c>
      <c r="F21" s="113" t="s">
        <v>8</v>
      </c>
      <c r="G21" s="99"/>
      <c r="H21" s="197" t="s">
        <v>3</v>
      </c>
      <c r="I21" s="198"/>
      <c r="J21" s="155" t="s">
        <v>99</v>
      </c>
      <c r="K21" s="112" t="s">
        <v>83</v>
      </c>
      <c r="L21" s="113" t="s">
        <v>8</v>
      </c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99"/>
      <c r="AF21" s="99"/>
      <c r="AG21" s="99"/>
      <c r="AH21" s="99"/>
      <c r="AI21" s="99"/>
      <c r="AJ21" s="99"/>
      <c r="AK21" s="99"/>
      <c r="AL21" s="99"/>
      <c r="AM21" s="99"/>
      <c r="AN21" s="99"/>
      <c r="AO21" s="99"/>
      <c r="AP21" s="99"/>
      <c r="AQ21" s="99"/>
      <c r="AR21" s="99"/>
      <c r="AS21" s="99"/>
      <c r="AT21" s="99"/>
      <c r="AU21" s="99"/>
    </row>
    <row r="22" spans="1:47" x14ac:dyDescent="0.3">
      <c r="A22" s="99"/>
      <c r="B22" s="128" t="s">
        <v>92</v>
      </c>
      <c r="C22" s="129">
        <v>10</v>
      </c>
      <c r="D22" s="130">
        <v>0</v>
      </c>
      <c r="E22" s="131">
        <f ca="1">(D22/(C22/365*Données!$B$3))</f>
        <v>0</v>
      </c>
      <c r="F22" s="132">
        <f t="shared" ref="F22:F27" si="3">IFERROR(D22/C22,"")</f>
        <v>0</v>
      </c>
      <c r="G22" s="99"/>
      <c r="H22" s="128" t="s">
        <v>92</v>
      </c>
      <c r="I22" s="129">
        <v>10</v>
      </c>
      <c r="J22" s="130">
        <v>0</v>
      </c>
      <c r="K22" s="131">
        <f ca="1">(J22/(I22/365*Données!$B$3))</f>
        <v>0</v>
      </c>
      <c r="L22" s="132">
        <f t="shared" ref="L22:L27" si="4">IFERROR(J22/I22,"")</f>
        <v>0</v>
      </c>
      <c r="M22" s="99"/>
      <c r="N22" s="99"/>
      <c r="O22" s="99"/>
      <c r="P22" s="99"/>
      <c r="Q22" s="99"/>
      <c r="R22" s="99"/>
      <c r="S22" s="99"/>
      <c r="T22" s="99"/>
      <c r="U22" s="99"/>
      <c r="V22" s="99"/>
      <c r="W22" s="99"/>
      <c r="X22" s="99"/>
      <c r="Y22" s="99"/>
      <c r="Z22" s="99"/>
      <c r="AA22" s="99"/>
      <c r="AB22" s="99"/>
      <c r="AC22" s="99"/>
      <c r="AD22" s="99"/>
      <c r="AE22" s="99"/>
      <c r="AF22" s="99"/>
      <c r="AG22" s="99"/>
      <c r="AH22" s="99"/>
      <c r="AI22" s="99"/>
      <c r="AJ22" s="99"/>
      <c r="AK22" s="99"/>
      <c r="AL22" s="99"/>
      <c r="AM22" s="99"/>
      <c r="AN22" s="99"/>
      <c r="AO22" s="99"/>
      <c r="AP22" s="99"/>
      <c r="AQ22" s="99"/>
      <c r="AR22" s="99"/>
      <c r="AS22" s="99"/>
      <c r="AT22" s="99"/>
      <c r="AU22" s="99"/>
    </row>
    <row r="23" spans="1:47" x14ac:dyDescent="0.3">
      <c r="A23" s="99"/>
      <c r="B23" s="128" t="s">
        <v>93</v>
      </c>
      <c r="C23" s="129">
        <v>10</v>
      </c>
      <c r="D23" s="129">
        <v>0</v>
      </c>
      <c r="E23" s="131">
        <f ca="1">(D23/(C23/365*Données!$B$3))</f>
        <v>0</v>
      </c>
      <c r="F23" s="132">
        <f t="shared" si="3"/>
        <v>0</v>
      </c>
      <c r="G23" s="99"/>
      <c r="H23" s="128" t="s">
        <v>93</v>
      </c>
      <c r="I23" s="129">
        <v>10</v>
      </c>
      <c r="J23" s="129">
        <v>0</v>
      </c>
      <c r="K23" s="131">
        <f ca="1">(J23/(I23/365*Données!$B$3))</f>
        <v>0</v>
      </c>
      <c r="L23" s="132">
        <f t="shared" si="4"/>
        <v>0</v>
      </c>
      <c r="M23" s="99"/>
      <c r="N23" s="99"/>
      <c r="O23" s="99"/>
      <c r="P23" s="99"/>
      <c r="Q23" s="99"/>
      <c r="R23" s="99"/>
      <c r="S23" s="99"/>
      <c r="T23" s="99"/>
      <c r="U23" s="99"/>
      <c r="V23" s="99"/>
      <c r="W23" s="99"/>
      <c r="X23" s="99"/>
      <c r="Y23" s="99"/>
      <c r="Z23" s="99"/>
      <c r="AA23" s="99"/>
      <c r="AB23" s="99"/>
      <c r="AC23" s="99"/>
      <c r="AD23" s="99"/>
      <c r="AE23" s="99"/>
      <c r="AF23" s="99"/>
      <c r="AG23" s="99"/>
      <c r="AH23" s="99"/>
      <c r="AI23" s="99"/>
      <c r="AJ23" s="99"/>
      <c r="AK23" s="99"/>
      <c r="AL23" s="99"/>
      <c r="AM23" s="99"/>
      <c r="AN23" s="99"/>
      <c r="AO23" s="99"/>
      <c r="AP23" s="99"/>
      <c r="AQ23" s="99"/>
      <c r="AR23" s="99"/>
      <c r="AS23" s="99"/>
      <c r="AT23" s="99"/>
      <c r="AU23" s="99"/>
    </row>
    <row r="24" spans="1:47" x14ac:dyDescent="0.3">
      <c r="A24" s="99"/>
      <c r="B24" s="128" t="s">
        <v>94</v>
      </c>
      <c r="C24" s="129">
        <v>10</v>
      </c>
      <c r="D24" s="129">
        <v>0</v>
      </c>
      <c r="E24" s="131">
        <f ca="1">(D24/(C24/365*Données!$B$3))</f>
        <v>0</v>
      </c>
      <c r="F24" s="132">
        <f t="shared" si="3"/>
        <v>0</v>
      </c>
      <c r="G24" s="99"/>
      <c r="H24" s="128" t="s">
        <v>94</v>
      </c>
      <c r="I24" s="129">
        <v>10</v>
      </c>
      <c r="J24" s="129">
        <v>0</v>
      </c>
      <c r="K24" s="131">
        <f ca="1">(J24/(I24/365*Données!$B$3))</f>
        <v>0</v>
      </c>
      <c r="L24" s="132">
        <f t="shared" si="4"/>
        <v>0</v>
      </c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99"/>
      <c r="AL24" s="99"/>
      <c r="AM24" s="99"/>
      <c r="AN24" s="99"/>
      <c r="AO24" s="99"/>
      <c r="AP24" s="99"/>
      <c r="AQ24" s="99"/>
      <c r="AR24" s="99"/>
      <c r="AS24" s="99"/>
      <c r="AT24" s="99"/>
      <c r="AU24" s="99"/>
    </row>
    <row r="25" spans="1:47" x14ac:dyDescent="0.3">
      <c r="A25" s="99"/>
      <c r="B25" s="128" t="s">
        <v>95</v>
      </c>
      <c r="C25" s="129">
        <v>10</v>
      </c>
      <c r="D25" s="129">
        <v>0</v>
      </c>
      <c r="E25" s="131">
        <f ca="1">(D25/(C25/365*Données!$B$3))</f>
        <v>0</v>
      </c>
      <c r="F25" s="132">
        <f t="shared" si="3"/>
        <v>0</v>
      </c>
      <c r="G25" s="99"/>
      <c r="H25" s="128" t="s">
        <v>95</v>
      </c>
      <c r="I25" s="129">
        <v>10</v>
      </c>
      <c r="J25" s="129">
        <v>0</v>
      </c>
      <c r="K25" s="131">
        <f ca="1">(J25/(I25/365*Données!$B$3))</f>
        <v>0</v>
      </c>
      <c r="L25" s="132">
        <f t="shared" si="4"/>
        <v>0</v>
      </c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99"/>
      <c r="Z25" s="99"/>
      <c r="AA25" s="99"/>
      <c r="AB25" s="99"/>
      <c r="AC25" s="99"/>
      <c r="AD25" s="99"/>
      <c r="AE25" s="99"/>
      <c r="AF25" s="99"/>
      <c r="AG25" s="99"/>
      <c r="AH25" s="99"/>
      <c r="AI25" s="99"/>
      <c r="AJ25" s="99"/>
      <c r="AK25" s="99"/>
      <c r="AL25" s="99"/>
      <c r="AM25" s="99"/>
      <c r="AN25" s="99"/>
      <c r="AO25" s="99"/>
      <c r="AP25" s="99"/>
      <c r="AQ25" s="99"/>
      <c r="AR25" s="99"/>
      <c r="AS25" s="99"/>
      <c r="AT25" s="99"/>
      <c r="AU25" s="99"/>
    </row>
    <row r="26" spans="1:47" x14ac:dyDescent="0.3">
      <c r="A26" s="99"/>
      <c r="B26" s="128" t="s">
        <v>96</v>
      </c>
      <c r="C26" s="129">
        <v>10</v>
      </c>
      <c r="D26" s="129">
        <v>0</v>
      </c>
      <c r="E26" s="131">
        <f ca="1">(D26/(C26/365*Données!$B$3))</f>
        <v>0</v>
      </c>
      <c r="F26" s="132">
        <f t="shared" si="3"/>
        <v>0</v>
      </c>
      <c r="G26" s="99"/>
      <c r="H26" s="128" t="s">
        <v>96</v>
      </c>
      <c r="I26" s="129">
        <v>10</v>
      </c>
      <c r="J26" s="129">
        <v>0</v>
      </c>
      <c r="K26" s="131">
        <f ca="1">(J26/(I26/365*Données!$B$3))</f>
        <v>0</v>
      </c>
      <c r="L26" s="132">
        <f t="shared" si="4"/>
        <v>0</v>
      </c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99"/>
      <c r="X26" s="99"/>
      <c r="Y26" s="99"/>
      <c r="Z26" s="99"/>
      <c r="AA26" s="99"/>
      <c r="AB26" s="99"/>
      <c r="AC26" s="99"/>
      <c r="AD26" s="99"/>
      <c r="AE26" s="99"/>
      <c r="AF26" s="99"/>
      <c r="AG26" s="99"/>
      <c r="AH26" s="99"/>
      <c r="AI26" s="99"/>
      <c r="AJ26" s="99"/>
      <c r="AK26" s="99"/>
      <c r="AL26" s="99"/>
      <c r="AM26" s="99"/>
      <c r="AN26" s="99"/>
      <c r="AO26" s="99"/>
      <c r="AP26" s="99"/>
      <c r="AQ26" s="99"/>
      <c r="AR26" s="99"/>
      <c r="AS26" s="99"/>
      <c r="AT26" s="99"/>
      <c r="AU26" s="99"/>
    </row>
    <row r="27" spans="1:47" x14ac:dyDescent="0.3">
      <c r="A27" s="99"/>
      <c r="B27" s="128" t="s">
        <v>97</v>
      </c>
      <c r="C27" s="129">
        <v>10</v>
      </c>
      <c r="D27" s="129">
        <v>0</v>
      </c>
      <c r="E27" s="131">
        <f ca="1">(D27/(C27/365*Données!$B$3))</f>
        <v>0</v>
      </c>
      <c r="F27" s="132">
        <f t="shared" si="3"/>
        <v>0</v>
      </c>
      <c r="G27" s="99"/>
      <c r="H27" s="128" t="s">
        <v>97</v>
      </c>
      <c r="I27" s="129">
        <v>10</v>
      </c>
      <c r="J27" s="129">
        <v>0</v>
      </c>
      <c r="K27" s="131">
        <f ca="1">(J27/(I27/365*Données!$B$3))</f>
        <v>0</v>
      </c>
      <c r="L27" s="132">
        <f t="shared" si="4"/>
        <v>0</v>
      </c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99"/>
      <c r="AI27" s="99"/>
      <c r="AJ27" s="99"/>
      <c r="AK27" s="99"/>
      <c r="AL27" s="99"/>
      <c r="AM27" s="99"/>
      <c r="AN27" s="99"/>
      <c r="AO27" s="99"/>
      <c r="AP27" s="99"/>
      <c r="AQ27" s="99"/>
      <c r="AR27" s="99"/>
      <c r="AS27" s="99"/>
      <c r="AT27" s="99"/>
      <c r="AU27" s="99"/>
    </row>
    <row r="28" spans="1:47" s="74" customFormat="1" ht="17.25" thickBot="1" x14ac:dyDescent="0.35">
      <c r="A28" s="99"/>
      <c r="B28" s="133" t="s">
        <v>98</v>
      </c>
      <c r="C28" s="134">
        <v>10</v>
      </c>
      <c r="D28" s="134"/>
      <c r="E28" s="135"/>
      <c r="F28" s="136"/>
      <c r="G28" s="99"/>
      <c r="H28" s="133" t="s">
        <v>98</v>
      </c>
      <c r="I28" s="134">
        <v>10</v>
      </c>
      <c r="J28" s="134"/>
      <c r="K28" s="135"/>
      <c r="L28" s="136"/>
      <c r="M28" s="99"/>
      <c r="N28" s="99"/>
      <c r="O28" s="99"/>
      <c r="P28" s="99"/>
      <c r="Q28" s="99"/>
      <c r="R28" s="99"/>
      <c r="S28" s="99"/>
      <c r="T28" s="99"/>
      <c r="U28" s="99"/>
      <c r="V28" s="99"/>
      <c r="W28" s="99"/>
      <c r="X28" s="99"/>
      <c r="Y28" s="99"/>
      <c r="Z28" s="99"/>
      <c r="AA28" s="99"/>
      <c r="AB28" s="99"/>
      <c r="AC28" s="99"/>
      <c r="AD28" s="99"/>
      <c r="AE28" s="99"/>
      <c r="AF28" s="99"/>
      <c r="AG28" s="99"/>
      <c r="AH28" s="99"/>
      <c r="AI28" s="99"/>
      <c r="AJ28" s="99"/>
      <c r="AK28" s="99"/>
      <c r="AL28" s="99"/>
      <c r="AM28" s="99"/>
      <c r="AN28" s="99"/>
      <c r="AO28" s="99"/>
      <c r="AP28" s="99"/>
      <c r="AQ28" s="99"/>
      <c r="AR28" s="99"/>
      <c r="AS28" s="99"/>
      <c r="AT28" s="99"/>
      <c r="AU28" s="99"/>
    </row>
    <row r="29" spans="1:47" s="74" customFormat="1" x14ac:dyDescent="0.3">
      <c r="A29" s="99"/>
      <c r="B29" s="99"/>
      <c r="C29" s="100"/>
      <c r="D29" s="100"/>
      <c r="E29" s="101"/>
      <c r="F29" s="102"/>
      <c r="G29" s="99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99"/>
      <c r="X29" s="99"/>
      <c r="Y29" s="99"/>
      <c r="Z29" s="99"/>
      <c r="AA29" s="99"/>
      <c r="AB29" s="99"/>
      <c r="AC29" s="99"/>
      <c r="AD29" s="99"/>
      <c r="AE29" s="99"/>
      <c r="AF29" s="99"/>
      <c r="AG29" s="99"/>
      <c r="AH29" s="99"/>
      <c r="AI29" s="99"/>
      <c r="AJ29" s="99"/>
      <c r="AK29" s="99"/>
      <c r="AL29" s="99"/>
      <c r="AM29" s="99"/>
      <c r="AN29" s="99"/>
      <c r="AO29" s="99"/>
      <c r="AP29" s="99"/>
      <c r="AQ29" s="99"/>
      <c r="AR29" s="99"/>
      <c r="AS29" s="99"/>
      <c r="AT29" s="99"/>
      <c r="AU29" s="99"/>
    </row>
    <row r="30" spans="1:47" s="74" customFormat="1" x14ac:dyDescent="0.3">
      <c r="A30" s="99"/>
      <c r="B30" s="99"/>
      <c r="C30" s="100"/>
      <c r="D30" s="100"/>
      <c r="E30" s="101"/>
      <c r="F30" s="102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99"/>
      <c r="AM30" s="99"/>
      <c r="AN30" s="99"/>
      <c r="AO30" s="99"/>
      <c r="AP30" s="99"/>
      <c r="AQ30" s="99"/>
      <c r="AR30" s="99"/>
      <c r="AS30" s="99"/>
      <c r="AT30" s="99"/>
      <c r="AU30" s="99"/>
    </row>
    <row r="31" spans="1:47" s="74" customFormat="1" x14ac:dyDescent="0.3">
      <c r="A31" s="99"/>
      <c r="B31" s="99"/>
      <c r="C31" s="100"/>
      <c r="D31" s="100"/>
      <c r="E31" s="101"/>
      <c r="F31" s="102"/>
      <c r="G31" s="99"/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99"/>
      <c r="V31" s="99"/>
      <c r="W31" s="99"/>
      <c r="X31" s="99"/>
      <c r="Y31" s="99"/>
      <c r="Z31" s="99"/>
      <c r="AA31" s="99"/>
      <c r="AB31" s="99"/>
      <c r="AC31" s="99"/>
      <c r="AD31" s="99"/>
      <c r="AE31" s="99"/>
      <c r="AF31" s="99"/>
      <c r="AG31" s="99"/>
      <c r="AH31" s="99"/>
      <c r="AI31" s="99"/>
      <c r="AJ31" s="99"/>
      <c r="AK31" s="99"/>
      <c r="AL31" s="99"/>
      <c r="AM31" s="99"/>
      <c r="AN31" s="99"/>
      <c r="AO31" s="99"/>
      <c r="AP31" s="99"/>
      <c r="AQ31" s="99"/>
      <c r="AR31" s="99"/>
      <c r="AS31" s="99"/>
      <c r="AT31" s="99"/>
      <c r="AU31" s="99"/>
    </row>
    <row r="32" spans="1:47" s="74" customFormat="1" x14ac:dyDescent="0.3">
      <c r="A32" s="99"/>
      <c r="B32" s="99"/>
      <c r="C32" s="100"/>
      <c r="D32" s="100"/>
      <c r="E32" s="101"/>
      <c r="F32" s="102"/>
      <c r="G32" s="99"/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99"/>
      <c r="U32" s="99"/>
      <c r="V32" s="99"/>
      <c r="W32" s="99"/>
      <c r="X32" s="99"/>
      <c r="Y32" s="99"/>
      <c r="Z32" s="99"/>
      <c r="AA32" s="99"/>
      <c r="AB32" s="99"/>
      <c r="AC32" s="99"/>
      <c r="AD32" s="99"/>
      <c r="AE32" s="99"/>
      <c r="AF32" s="99"/>
      <c r="AG32" s="99"/>
      <c r="AH32" s="99"/>
      <c r="AI32" s="99"/>
      <c r="AJ32" s="99"/>
      <c r="AK32" s="99"/>
      <c r="AL32" s="99"/>
      <c r="AM32" s="99"/>
      <c r="AN32" s="99"/>
      <c r="AO32" s="99"/>
      <c r="AP32" s="99"/>
      <c r="AQ32" s="99"/>
      <c r="AR32" s="99"/>
      <c r="AS32" s="99"/>
      <c r="AT32" s="99"/>
      <c r="AU32" s="99"/>
    </row>
    <row r="33" spans="1:47" s="74" customFormat="1" x14ac:dyDescent="0.3">
      <c r="A33" s="99"/>
      <c r="B33" s="99"/>
      <c r="C33" s="100"/>
      <c r="D33" s="100"/>
      <c r="E33" s="101"/>
      <c r="F33" s="102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</row>
    <row r="34" spans="1:47" s="74" customFormat="1" x14ac:dyDescent="0.3">
      <c r="A34" s="99"/>
      <c r="B34" s="99"/>
      <c r="C34" s="100"/>
      <c r="D34" s="100"/>
      <c r="E34" s="101"/>
      <c r="F34" s="102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99"/>
      <c r="AG34" s="99"/>
      <c r="AH34" s="99"/>
      <c r="AI34" s="99"/>
      <c r="AJ34" s="99"/>
      <c r="AK34" s="99"/>
      <c r="AL34" s="99"/>
      <c r="AM34" s="99"/>
      <c r="AN34" s="99"/>
      <c r="AO34" s="99"/>
      <c r="AP34" s="99"/>
      <c r="AQ34" s="99"/>
      <c r="AR34" s="99"/>
      <c r="AS34" s="99"/>
      <c r="AT34" s="99"/>
      <c r="AU34" s="99"/>
    </row>
    <row r="35" spans="1:47" s="74" customFormat="1" x14ac:dyDescent="0.3">
      <c r="A35" s="99"/>
      <c r="B35" s="99"/>
      <c r="C35" s="100"/>
      <c r="D35" s="100"/>
      <c r="E35" s="101"/>
      <c r="F35" s="102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99"/>
      <c r="Y35" s="99"/>
      <c r="Z35" s="99"/>
      <c r="AA35" s="99"/>
      <c r="AB35" s="99"/>
      <c r="AC35" s="99"/>
      <c r="AD35" s="99"/>
      <c r="AE35" s="99"/>
      <c r="AF35" s="99"/>
      <c r="AG35" s="99"/>
      <c r="AH35" s="99"/>
      <c r="AI35" s="99"/>
      <c r="AJ35" s="99"/>
      <c r="AK35" s="99"/>
      <c r="AL35" s="99"/>
      <c r="AM35" s="99"/>
      <c r="AN35" s="99"/>
      <c r="AO35" s="99"/>
      <c r="AP35" s="99"/>
      <c r="AQ35" s="99"/>
      <c r="AR35" s="99"/>
      <c r="AS35" s="99"/>
      <c r="AT35" s="99"/>
      <c r="AU35" s="99"/>
    </row>
    <row r="36" spans="1:47" s="74" customFormat="1" x14ac:dyDescent="0.3">
      <c r="A36" s="99"/>
      <c r="B36" s="99"/>
      <c r="C36" s="100"/>
      <c r="D36" s="100"/>
      <c r="E36" s="101"/>
      <c r="F36" s="102"/>
      <c r="G36" s="99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99"/>
      <c r="AM36" s="99"/>
      <c r="AN36" s="99"/>
      <c r="AO36" s="99"/>
      <c r="AP36" s="99"/>
      <c r="AQ36" s="99"/>
      <c r="AR36" s="99"/>
      <c r="AS36" s="99"/>
      <c r="AT36" s="99"/>
      <c r="AU36" s="99"/>
    </row>
    <row r="37" spans="1:47" s="74" customFormat="1" x14ac:dyDescent="0.3">
      <c r="A37" s="99"/>
      <c r="B37" s="99"/>
      <c r="C37" s="100"/>
      <c r="D37" s="100"/>
      <c r="E37" s="101"/>
      <c r="F37" s="102"/>
      <c r="G37" s="99"/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99"/>
      <c r="U37" s="99"/>
      <c r="V37" s="99"/>
      <c r="W37" s="99"/>
      <c r="X37" s="99"/>
      <c r="Y37" s="99"/>
      <c r="Z37" s="99"/>
      <c r="AA37" s="99"/>
      <c r="AB37" s="99"/>
      <c r="AC37" s="99"/>
      <c r="AD37" s="99"/>
      <c r="AE37" s="99"/>
      <c r="AF37" s="99"/>
      <c r="AG37" s="99"/>
      <c r="AH37" s="99"/>
      <c r="AI37" s="99"/>
      <c r="AJ37" s="99"/>
      <c r="AK37" s="99"/>
      <c r="AL37" s="99"/>
      <c r="AM37" s="99"/>
      <c r="AN37" s="99"/>
      <c r="AO37" s="99"/>
      <c r="AP37" s="99"/>
      <c r="AQ37" s="99"/>
      <c r="AR37" s="99"/>
      <c r="AS37" s="99"/>
      <c r="AT37" s="99"/>
      <c r="AU37" s="99"/>
    </row>
    <row r="38" spans="1:47" s="74" customFormat="1" x14ac:dyDescent="0.3">
      <c r="A38" s="99"/>
      <c r="B38" s="99"/>
      <c r="C38" s="100"/>
      <c r="D38" s="100"/>
      <c r="E38" s="101"/>
      <c r="F38" s="102"/>
      <c r="G38" s="99"/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99"/>
      <c r="V38" s="99"/>
      <c r="W38" s="99"/>
      <c r="X38" s="99"/>
      <c r="Y38" s="99"/>
      <c r="Z38" s="99"/>
      <c r="AA38" s="99"/>
      <c r="AB38" s="99"/>
      <c r="AC38" s="99"/>
      <c r="AD38" s="99"/>
      <c r="AE38" s="99"/>
      <c r="AF38" s="99"/>
      <c r="AG38" s="99"/>
      <c r="AH38" s="99"/>
      <c r="AI38" s="99"/>
      <c r="AJ38" s="99"/>
      <c r="AK38" s="99"/>
      <c r="AL38" s="99"/>
      <c r="AM38" s="99"/>
      <c r="AN38" s="99"/>
      <c r="AO38" s="99"/>
      <c r="AP38" s="99"/>
      <c r="AQ38" s="99"/>
      <c r="AR38" s="99"/>
      <c r="AS38" s="99"/>
      <c r="AT38" s="99"/>
      <c r="AU38" s="99"/>
    </row>
    <row r="39" spans="1:47" s="74" customFormat="1" x14ac:dyDescent="0.3">
      <c r="A39" s="99"/>
      <c r="B39" s="99"/>
      <c r="C39" s="100"/>
      <c r="D39" s="100"/>
      <c r="E39" s="101"/>
      <c r="F39" s="102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99"/>
      <c r="AM39" s="99"/>
      <c r="AN39" s="99"/>
      <c r="AO39" s="99"/>
      <c r="AP39" s="99"/>
      <c r="AQ39" s="99"/>
      <c r="AR39" s="99"/>
      <c r="AS39" s="99"/>
      <c r="AT39" s="99"/>
      <c r="AU39" s="99"/>
    </row>
    <row r="40" spans="1:47" s="74" customFormat="1" x14ac:dyDescent="0.3">
      <c r="A40" s="99"/>
      <c r="B40" s="99"/>
      <c r="C40" s="100"/>
      <c r="D40" s="100"/>
      <c r="E40" s="101"/>
      <c r="F40" s="102"/>
      <c r="G40" s="99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  <c r="AA40" s="99"/>
      <c r="AB40" s="99"/>
      <c r="AC40" s="99"/>
      <c r="AD40" s="99"/>
      <c r="AE40" s="99"/>
      <c r="AF40" s="99"/>
      <c r="AG40" s="99"/>
      <c r="AH40" s="99"/>
      <c r="AI40" s="99"/>
      <c r="AJ40" s="99"/>
      <c r="AK40" s="99"/>
      <c r="AL40" s="99"/>
      <c r="AM40" s="99"/>
      <c r="AN40" s="99"/>
      <c r="AO40" s="99"/>
      <c r="AP40" s="99"/>
      <c r="AQ40" s="99"/>
      <c r="AR40" s="99"/>
      <c r="AS40" s="99"/>
      <c r="AT40" s="99"/>
      <c r="AU40" s="99"/>
    </row>
    <row r="41" spans="1:47" s="74" customFormat="1" x14ac:dyDescent="0.3">
      <c r="A41" s="99"/>
      <c r="B41" s="99"/>
      <c r="C41" s="100"/>
      <c r="D41" s="100"/>
      <c r="E41" s="101"/>
      <c r="F41" s="102"/>
      <c r="G41" s="99"/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99"/>
      <c r="U41" s="99"/>
      <c r="V41" s="99"/>
      <c r="W41" s="99"/>
      <c r="X41" s="99"/>
      <c r="Y41" s="99"/>
      <c r="Z41" s="99"/>
      <c r="AA41" s="99"/>
      <c r="AB41" s="99"/>
      <c r="AC41" s="99"/>
      <c r="AD41" s="99"/>
      <c r="AE41" s="99"/>
      <c r="AF41" s="99"/>
      <c r="AG41" s="99"/>
      <c r="AH41" s="99"/>
      <c r="AI41" s="99"/>
      <c r="AJ41" s="99"/>
      <c r="AK41" s="99"/>
      <c r="AL41" s="99"/>
      <c r="AM41" s="99"/>
      <c r="AN41" s="99"/>
      <c r="AO41" s="99"/>
      <c r="AP41" s="99"/>
      <c r="AQ41" s="99"/>
      <c r="AR41" s="99"/>
      <c r="AS41" s="99"/>
      <c r="AT41" s="99"/>
      <c r="AU41" s="99"/>
    </row>
    <row r="42" spans="1:47" s="74" customFormat="1" x14ac:dyDescent="0.3">
      <c r="A42" s="99"/>
      <c r="B42" s="99"/>
      <c r="C42" s="100"/>
      <c r="D42" s="100"/>
      <c r="E42" s="101"/>
      <c r="F42" s="102"/>
      <c r="G42" s="99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99"/>
      <c r="AM42" s="99"/>
      <c r="AN42" s="99"/>
      <c r="AO42" s="99"/>
      <c r="AP42" s="99"/>
      <c r="AQ42" s="99"/>
      <c r="AR42" s="99"/>
      <c r="AS42" s="99"/>
      <c r="AT42" s="99"/>
      <c r="AU42" s="99"/>
    </row>
    <row r="43" spans="1:47" s="74" customFormat="1" x14ac:dyDescent="0.3">
      <c r="A43" s="99"/>
      <c r="B43" s="99"/>
      <c r="C43" s="100"/>
      <c r="D43" s="100"/>
      <c r="E43" s="101"/>
      <c r="F43" s="102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99"/>
      <c r="V43" s="99"/>
      <c r="W43" s="99"/>
      <c r="X43" s="99"/>
      <c r="Y43" s="99"/>
      <c r="Z43" s="99"/>
      <c r="AA43" s="99"/>
      <c r="AB43" s="99"/>
      <c r="AC43" s="99"/>
      <c r="AD43" s="99"/>
      <c r="AE43" s="99"/>
      <c r="AF43" s="99"/>
      <c r="AG43" s="99"/>
      <c r="AH43" s="99"/>
      <c r="AI43" s="99"/>
      <c r="AJ43" s="99"/>
      <c r="AK43" s="99"/>
      <c r="AL43" s="99"/>
      <c r="AM43" s="99"/>
      <c r="AN43" s="99"/>
      <c r="AO43" s="99"/>
      <c r="AP43" s="99"/>
      <c r="AQ43" s="99"/>
      <c r="AR43" s="99"/>
      <c r="AS43" s="99"/>
      <c r="AT43" s="99"/>
      <c r="AU43" s="99"/>
    </row>
    <row r="44" spans="1:47" s="74" customFormat="1" x14ac:dyDescent="0.3">
      <c r="A44" s="99"/>
      <c r="B44" s="99"/>
      <c r="C44" s="100"/>
      <c r="D44" s="100"/>
      <c r="E44" s="101"/>
      <c r="F44" s="102"/>
      <c r="G44" s="99"/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99"/>
      <c r="V44" s="99"/>
      <c r="W44" s="99"/>
      <c r="X44" s="99"/>
      <c r="Y44" s="99"/>
      <c r="Z44" s="99"/>
      <c r="AA44" s="99"/>
      <c r="AB44" s="99"/>
      <c r="AC44" s="99"/>
      <c r="AD44" s="99"/>
      <c r="AE44" s="99"/>
      <c r="AF44" s="99"/>
      <c r="AG44" s="99"/>
      <c r="AH44" s="99"/>
      <c r="AI44" s="99"/>
      <c r="AJ44" s="99"/>
      <c r="AK44" s="99"/>
      <c r="AL44" s="99"/>
      <c r="AM44" s="99"/>
      <c r="AN44" s="99"/>
      <c r="AO44" s="99"/>
      <c r="AP44" s="99"/>
      <c r="AQ44" s="99"/>
      <c r="AR44" s="99"/>
      <c r="AS44" s="99"/>
      <c r="AT44" s="99"/>
      <c r="AU44" s="99"/>
    </row>
    <row r="45" spans="1:47" s="74" customFormat="1" x14ac:dyDescent="0.3">
      <c r="A45" s="99"/>
      <c r="B45" s="99"/>
      <c r="C45" s="100"/>
      <c r="D45" s="100"/>
      <c r="E45" s="101"/>
      <c r="F45" s="102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99"/>
      <c r="AR45" s="99"/>
      <c r="AS45" s="99"/>
      <c r="AT45" s="99"/>
      <c r="AU45" s="99"/>
    </row>
    <row r="46" spans="1:47" s="74" customFormat="1" x14ac:dyDescent="0.3">
      <c r="A46" s="99"/>
      <c r="B46" s="99"/>
      <c r="C46" s="100"/>
      <c r="D46" s="100"/>
      <c r="E46" s="101"/>
      <c r="F46" s="102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99"/>
      <c r="AG46" s="99"/>
      <c r="AH46" s="99"/>
      <c r="AI46" s="99"/>
      <c r="AJ46" s="99"/>
      <c r="AK46" s="99"/>
      <c r="AL46" s="99"/>
      <c r="AM46" s="99"/>
      <c r="AN46" s="99"/>
      <c r="AO46" s="99"/>
      <c r="AP46" s="99"/>
      <c r="AQ46" s="99"/>
      <c r="AR46" s="99"/>
      <c r="AS46" s="99"/>
      <c r="AT46" s="99"/>
      <c r="AU46" s="99"/>
    </row>
    <row r="47" spans="1:47" s="74" customFormat="1" x14ac:dyDescent="0.3">
      <c r="A47" s="99"/>
      <c r="B47" s="99"/>
      <c r="C47" s="100"/>
      <c r="D47" s="100"/>
      <c r="E47" s="101"/>
      <c r="F47" s="102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99"/>
      <c r="T47" s="99"/>
      <c r="U47" s="99"/>
      <c r="V47" s="99"/>
      <c r="W47" s="99"/>
      <c r="X47" s="99"/>
      <c r="Y47" s="99"/>
      <c r="Z47" s="99"/>
      <c r="AA47" s="99"/>
      <c r="AB47" s="99"/>
      <c r="AC47" s="99"/>
      <c r="AD47" s="99"/>
      <c r="AE47" s="99"/>
      <c r="AF47" s="99"/>
      <c r="AG47" s="99"/>
      <c r="AH47" s="99"/>
      <c r="AI47" s="99"/>
      <c r="AJ47" s="99"/>
      <c r="AK47" s="99"/>
      <c r="AL47" s="99"/>
      <c r="AM47" s="99"/>
      <c r="AN47" s="99"/>
      <c r="AO47" s="99"/>
      <c r="AP47" s="99"/>
      <c r="AQ47" s="99"/>
      <c r="AR47" s="99"/>
      <c r="AS47" s="99"/>
      <c r="AT47" s="99"/>
      <c r="AU47" s="99"/>
    </row>
    <row r="48" spans="1:47" s="74" customFormat="1" x14ac:dyDescent="0.3">
      <c r="A48" s="99"/>
      <c r="B48" s="99"/>
      <c r="C48" s="100"/>
      <c r="D48" s="100"/>
      <c r="E48" s="101"/>
      <c r="F48" s="102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  <c r="AA48" s="99"/>
      <c r="AB48" s="99"/>
      <c r="AC48" s="99"/>
      <c r="AD48" s="99"/>
      <c r="AE48" s="99"/>
      <c r="AF48" s="99"/>
      <c r="AG48" s="99"/>
      <c r="AH48" s="99"/>
      <c r="AI48" s="99"/>
      <c r="AJ48" s="99"/>
      <c r="AK48" s="99"/>
      <c r="AL48" s="99"/>
      <c r="AM48" s="99"/>
      <c r="AN48" s="99"/>
      <c r="AO48" s="99"/>
      <c r="AP48" s="99"/>
      <c r="AQ48" s="99"/>
      <c r="AR48" s="99"/>
      <c r="AS48" s="99"/>
      <c r="AT48" s="99"/>
      <c r="AU48" s="99"/>
    </row>
    <row r="49" spans="1:47" s="74" customFormat="1" x14ac:dyDescent="0.3">
      <c r="A49" s="99"/>
      <c r="B49" s="99"/>
      <c r="C49" s="100"/>
      <c r="D49" s="100"/>
      <c r="E49" s="101"/>
      <c r="F49" s="102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99"/>
      <c r="R49" s="99"/>
      <c r="S49" s="99"/>
      <c r="T49" s="99"/>
      <c r="U49" s="99"/>
      <c r="V49" s="99"/>
      <c r="W49" s="99"/>
      <c r="X49" s="99"/>
      <c r="Y49" s="99"/>
      <c r="Z49" s="99"/>
      <c r="AA49" s="99"/>
      <c r="AB49" s="99"/>
      <c r="AC49" s="99"/>
      <c r="AD49" s="99"/>
      <c r="AE49" s="99"/>
      <c r="AF49" s="99"/>
      <c r="AG49" s="99"/>
      <c r="AH49" s="99"/>
      <c r="AI49" s="99"/>
      <c r="AJ49" s="99"/>
      <c r="AK49" s="99"/>
      <c r="AL49" s="99"/>
      <c r="AM49" s="99"/>
      <c r="AN49" s="99"/>
      <c r="AO49" s="99"/>
      <c r="AP49" s="99"/>
      <c r="AQ49" s="99"/>
      <c r="AR49" s="99"/>
      <c r="AS49" s="99"/>
      <c r="AT49" s="99"/>
      <c r="AU49" s="99"/>
    </row>
    <row r="50" spans="1:47" s="74" customFormat="1" x14ac:dyDescent="0.3">
      <c r="A50" s="99"/>
      <c r="B50" s="99"/>
      <c r="C50" s="100"/>
      <c r="D50" s="100"/>
      <c r="E50" s="101"/>
      <c r="F50" s="102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99"/>
      <c r="R50" s="99"/>
      <c r="S50" s="99"/>
      <c r="T50" s="99"/>
      <c r="U50" s="99"/>
      <c r="V50" s="99"/>
      <c r="W50" s="99"/>
      <c r="X50" s="99"/>
      <c r="Y50" s="99"/>
      <c r="Z50" s="99"/>
      <c r="AA50" s="99"/>
      <c r="AB50" s="99"/>
      <c r="AC50" s="99"/>
      <c r="AD50" s="99"/>
      <c r="AE50" s="99"/>
      <c r="AF50" s="99"/>
      <c r="AG50" s="99"/>
      <c r="AH50" s="99"/>
      <c r="AI50" s="99"/>
      <c r="AJ50" s="99"/>
      <c r="AK50" s="99"/>
      <c r="AL50" s="99"/>
      <c r="AM50" s="99"/>
      <c r="AN50" s="99"/>
      <c r="AO50" s="99"/>
      <c r="AP50" s="99"/>
      <c r="AQ50" s="99"/>
      <c r="AR50" s="99"/>
      <c r="AS50" s="99"/>
      <c r="AT50" s="99"/>
      <c r="AU50" s="99"/>
    </row>
    <row r="51" spans="1:47" s="74" customFormat="1" x14ac:dyDescent="0.3">
      <c r="A51" s="99"/>
      <c r="B51" s="99"/>
      <c r="C51" s="100"/>
      <c r="D51" s="100"/>
      <c r="E51" s="101"/>
      <c r="F51" s="102"/>
      <c r="G51" s="99"/>
      <c r="H51" s="99"/>
      <c r="I51" s="99"/>
      <c r="J51" s="99"/>
      <c r="K51" s="99"/>
      <c r="L51" s="99"/>
      <c r="M51" s="99"/>
      <c r="N51" s="99"/>
      <c r="O51" s="99"/>
      <c r="P51" s="99"/>
      <c r="Q51" s="99"/>
      <c r="R51" s="99"/>
      <c r="S51" s="99"/>
      <c r="T51" s="99"/>
      <c r="U51" s="99"/>
      <c r="V51" s="99"/>
      <c r="W51" s="99"/>
      <c r="X51" s="99"/>
      <c r="Y51" s="99"/>
      <c r="Z51" s="99"/>
      <c r="AA51" s="99"/>
      <c r="AB51" s="99"/>
      <c r="AC51" s="99"/>
      <c r="AD51" s="99"/>
      <c r="AE51" s="99"/>
      <c r="AF51" s="99"/>
      <c r="AG51" s="99"/>
      <c r="AH51" s="99"/>
      <c r="AI51" s="99"/>
      <c r="AJ51" s="99"/>
      <c r="AK51" s="99"/>
      <c r="AL51" s="99"/>
      <c r="AM51" s="99"/>
      <c r="AN51" s="99"/>
      <c r="AO51" s="99"/>
      <c r="AP51" s="99"/>
      <c r="AQ51" s="99"/>
      <c r="AR51" s="99"/>
      <c r="AS51" s="99"/>
      <c r="AT51" s="99"/>
      <c r="AU51" s="99"/>
    </row>
    <row r="52" spans="1:47" s="74" customFormat="1" x14ac:dyDescent="0.3">
      <c r="A52" s="99"/>
      <c r="B52" s="99"/>
      <c r="C52" s="100"/>
      <c r="D52" s="100"/>
      <c r="E52" s="101"/>
      <c r="F52" s="102"/>
      <c r="G52" s="99"/>
      <c r="H52" s="99"/>
      <c r="I52" s="99"/>
      <c r="J52" s="99"/>
      <c r="K52" s="99"/>
      <c r="L52" s="99"/>
      <c r="M52" s="99"/>
      <c r="N52" s="99"/>
      <c r="O52" s="99"/>
      <c r="P52" s="99"/>
      <c r="Q52" s="99"/>
      <c r="R52" s="99"/>
      <c r="S52" s="99"/>
      <c r="T52" s="99"/>
      <c r="U52" s="99"/>
      <c r="V52" s="99"/>
      <c r="W52" s="99"/>
      <c r="X52" s="99"/>
      <c r="Y52" s="99"/>
      <c r="Z52" s="99"/>
      <c r="AA52" s="99"/>
      <c r="AB52" s="99"/>
      <c r="AC52" s="99"/>
      <c r="AD52" s="99"/>
      <c r="AE52" s="99"/>
      <c r="AF52" s="99"/>
      <c r="AG52" s="99"/>
      <c r="AH52" s="99"/>
      <c r="AI52" s="99"/>
      <c r="AJ52" s="99"/>
      <c r="AK52" s="99"/>
      <c r="AL52" s="99"/>
      <c r="AM52" s="99"/>
      <c r="AN52" s="99"/>
      <c r="AO52" s="99"/>
      <c r="AP52" s="99"/>
      <c r="AQ52" s="99"/>
      <c r="AR52" s="99"/>
      <c r="AS52" s="99"/>
      <c r="AT52" s="99"/>
      <c r="AU52" s="99"/>
    </row>
    <row r="53" spans="1:47" s="74" customFormat="1" x14ac:dyDescent="0.3">
      <c r="A53" s="99"/>
      <c r="B53" s="99"/>
      <c r="C53" s="100"/>
      <c r="D53" s="100"/>
      <c r="E53" s="101"/>
      <c r="F53" s="102"/>
      <c r="G53" s="99"/>
      <c r="H53" s="99"/>
      <c r="I53" s="99"/>
      <c r="J53" s="99"/>
      <c r="K53" s="99"/>
      <c r="L53" s="99"/>
      <c r="M53" s="99"/>
      <c r="N53" s="99"/>
      <c r="O53" s="99"/>
      <c r="P53" s="99"/>
      <c r="Q53" s="99"/>
      <c r="R53" s="99"/>
      <c r="S53" s="99"/>
      <c r="T53" s="99"/>
      <c r="U53" s="99"/>
      <c r="V53" s="99"/>
      <c r="W53" s="99"/>
      <c r="X53" s="99"/>
      <c r="Y53" s="99"/>
      <c r="Z53" s="99"/>
      <c r="AA53" s="99"/>
      <c r="AB53" s="99"/>
      <c r="AC53" s="99"/>
      <c r="AD53" s="99"/>
      <c r="AE53" s="99"/>
      <c r="AF53" s="99"/>
      <c r="AG53" s="99"/>
      <c r="AH53" s="99"/>
      <c r="AI53" s="99"/>
      <c r="AJ53" s="99"/>
      <c r="AK53" s="99"/>
      <c r="AL53" s="99"/>
      <c r="AM53" s="99"/>
      <c r="AN53" s="99"/>
      <c r="AO53" s="99"/>
      <c r="AP53" s="99"/>
      <c r="AQ53" s="99"/>
      <c r="AR53" s="99"/>
      <c r="AS53" s="99"/>
      <c r="AT53" s="99"/>
      <c r="AU53" s="99"/>
    </row>
    <row r="54" spans="1:47" s="74" customFormat="1" x14ac:dyDescent="0.3">
      <c r="A54" s="99"/>
      <c r="B54" s="99"/>
      <c r="C54" s="100"/>
      <c r="D54" s="100"/>
      <c r="E54" s="101"/>
      <c r="F54" s="102"/>
      <c r="G54" s="99"/>
      <c r="H54" s="99"/>
      <c r="I54" s="99"/>
      <c r="J54" s="99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99"/>
      <c r="X54" s="99"/>
      <c r="Y54" s="99"/>
      <c r="Z54" s="99"/>
      <c r="AA54" s="99"/>
      <c r="AB54" s="99"/>
      <c r="AC54" s="99"/>
      <c r="AD54" s="99"/>
      <c r="AE54" s="99"/>
      <c r="AF54" s="99"/>
      <c r="AG54" s="99"/>
      <c r="AH54" s="99"/>
      <c r="AI54" s="99"/>
      <c r="AJ54" s="99"/>
      <c r="AK54" s="99"/>
      <c r="AL54" s="99"/>
      <c r="AM54" s="99"/>
      <c r="AN54" s="99"/>
      <c r="AO54" s="99"/>
      <c r="AP54" s="99"/>
      <c r="AQ54" s="99"/>
      <c r="AR54" s="99"/>
      <c r="AS54" s="99"/>
      <c r="AT54" s="99"/>
      <c r="AU54" s="99"/>
    </row>
    <row r="55" spans="1:47" s="74" customFormat="1" x14ac:dyDescent="0.3">
      <c r="A55" s="99"/>
      <c r="B55" s="99"/>
      <c r="C55" s="100"/>
      <c r="D55" s="100"/>
      <c r="E55" s="101"/>
      <c r="F55" s="102"/>
      <c r="G55" s="99"/>
      <c r="H55" s="99"/>
      <c r="I55" s="99"/>
      <c r="J55" s="99"/>
      <c r="K55" s="99"/>
      <c r="L55" s="99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99"/>
      <c r="X55" s="99"/>
      <c r="Y55" s="99"/>
      <c r="Z55" s="99"/>
      <c r="AA55" s="99"/>
      <c r="AB55" s="99"/>
      <c r="AC55" s="99"/>
      <c r="AD55" s="99"/>
      <c r="AE55" s="99"/>
      <c r="AF55" s="99"/>
      <c r="AG55" s="99"/>
      <c r="AH55" s="99"/>
      <c r="AI55" s="99"/>
      <c r="AJ55" s="99"/>
      <c r="AK55" s="99"/>
      <c r="AL55" s="99"/>
      <c r="AM55" s="99"/>
      <c r="AN55" s="99"/>
      <c r="AO55" s="99"/>
      <c r="AP55" s="99"/>
      <c r="AQ55" s="99"/>
      <c r="AR55" s="99"/>
      <c r="AS55" s="99"/>
      <c r="AT55" s="99"/>
      <c r="AU55" s="99"/>
    </row>
    <row r="56" spans="1:47" s="74" customFormat="1" x14ac:dyDescent="0.3">
      <c r="A56" s="99"/>
      <c r="B56" s="99"/>
      <c r="C56" s="100"/>
      <c r="D56" s="100"/>
      <c r="E56" s="101"/>
      <c r="F56" s="102"/>
      <c r="G56" s="99"/>
      <c r="H56" s="99"/>
      <c r="I56" s="99"/>
      <c r="J56" s="99"/>
      <c r="K56" s="99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99"/>
      <c r="X56" s="99"/>
      <c r="Y56" s="99"/>
      <c r="Z56" s="99"/>
      <c r="AA56" s="99"/>
      <c r="AB56" s="99"/>
      <c r="AC56" s="99"/>
      <c r="AD56" s="99"/>
      <c r="AE56" s="99"/>
      <c r="AF56" s="99"/>
      <c r="AG56" s="99"/>
      <c r="AH56" s="99"/>
      <c r="AI56" s="99"/>
      <c r="AJ56" s="99"/>
      <c r="AK56" s="99"/>
      <c r="AL56" s="99"/>
      <c r="AM56" s="99"/>
      <c r="AN56" s="99"/>
      <c r="AO56" s="99"/>
      <c r="AP56" s="99"/>
      <c r="AQ56" s="99"/>
      <c r="AR56" s="99"/>
      <c r="AS56" s="99"/>
      <c r="AT56" s="99"/>
      <c r="AU56" s="99"/>
    </row>
    <row r="57" spans="1:47" s="74" customFormat="1" x14ac:dyDescent="0.3">
      <c r="A57" s="99"/>
      <c r="B57" s="99"/>
      <c r="C57" s="100"/>
      <c r="D57" s="100"/>
      <c r="E57" s="101"/>
      <c r="F57" s="102"/>
      <c r="G57" s="99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99"/>
      <c r="S57" s="99"/>
      <c r="T57" s="99"/>
      <c r="U57" s="99"/>
      <c r="V57" s="99"/>
      <c r="W57" s="99"/>
      <c r="X57" s="99"/>
      <c r="Y57" s="99"/>
      <c r="Z57" s="99"/>
      <c r="AA57" s="99"/>
      <c r="AB57" s="99"/>
      <c r="AC57" s="99"/>
      <c r="AD57" s="99"/>
      <c r="AE57" s="99"/>
      <c r="AF57" s="99"/>
      <c r="AG57" s="99"/>
      <c r="AH57" s="99"/>
      <c r="AI57" s="99"/>
      <c r="AJ57" s="99"/>
      <c r="AK57" s="99"/>
      <c r="AL57" s="99"/>
      <c r="AM57" s="99"/>
      <c r="AN57" s="99"/>
      <c r="AO57" s="99"/>
      <c r="AP57" s="99"/>
      <c r="AQ57" s="99"/>
      <c r="AR57" s="99"/>
      <c r="AS57" s="99"/>
      <c r="AT57" s="99"/>
      <c r="AU57" s="99"/>
    </row>
    <row r="58" spans="1:47" s="74" customFormat="1" x14ac:dyDescent="0.3">
      <c r="A58" s="99"/>
      <c r="B58" s="99"/>
      <c r="C58" s="100"/>
      <c r="D58" s="100"/>
      <c r="E58" s="101"/>
      <c r="F58" s="102"/>
      <c r="G58" s="99"/>
      <c r="H58" s="99"/>
      <c r="I58" s="99"/>
      <c r="J58" s="99"/>
      <c r="K58" s="99"/>
      <c r="L58" s="99"/>
      <c r="M58" s="99"/>
      <c r="N58" s="99"/>
      <c r="O58" s="99"/>
      <c r="P58" s="99"/>
      <c r="Q58" s="99"/>
      <c r="R58" s="99"/>
      <c r="S58" s="99"/>
      <c r="T58" s="99"/>
      <c r="U58" s="99"/>
      <c r="V58" s="99"/>
      <c r="W58" s="99"/>
      <c r="X58" s="99"/>
      <c r="Y58" s="99"/>
      <c r="Z58" s="99"/>
      <c r="AA58" s="99"/>
      <c r="AB58" s="99"/>
      <c r="AC58" s="99"/>
      <c r="AD58" s="99"/>
      <c r="AE58" s="99"/>
      <c r="AF58" s="99"/>
      <c r="AG58" s="99"/>
      <c r="AH58" s="99"/>
      <c r="AI58" s="99"/>
      <c r="AJ58" s="99"/>
      <c r="AK58" s="99"/>
      <c r="AL58" s="99"/>
      <c r="AM58" s="99"/>
      <c r="AN58" s="99"/>
      <c r="AO58" s="99"/>
      <c r="AP58" s="99"/>
      <c r="AQ58" s="99"/>
      <c r="AR58" s="99"/>
      <c r="AS58" s="99"/>
      <c r="AT58" s="99"/>
      <c r="AU58" s="99"/>
    </row>
    <row r="59" spans="1:47" s="74" customFormat="1" x14ac:dyDescent="0.3">
      <c r="A59" s="99"/>
      <c r="B59" s="99"/>
      <c r="C59" s="100"/>
      <c r="D59" s="100"/>
      <c r="E59" s="101"/>
      <c r="F59" s="102"/>
      <c r="G59" s="99"/>
      <c r="H59" s="99"/>
      <c r="I59" s="99"/>
      <c r="J59" s="99"/>
      <c r="K59" s="99"/>
      <c r="L59" s="99"/>
      <c r="M59" s="99"/>
      <c r="N59" s="99"/>
      <c r="O59" s="99"/>
      <c r="P59" s="99"/>
      <c r="Q59" s="99"/>
      <c r="R59" s="99"/>
      <c r="S59" s="99"/>
      <c r="T59" s="99"/>
      <c r="U59" s="99"/>
      <c r="V59" s="99"/>
      <c r="W59" s="99"/>
      <c r="X59" s="99"/>
      <c r="Y59" s="99"/>
      <c r="Z59" s="99"/>
      <c r="AA59" s="99"/>
      <c r="AB59" s="99"/>
      <c r="AC59" s="99"/>
      <c r="AD59" s="99"/>
      <c r="AE59" s="99"/>
      <c r="AF59" s="99"/>
      <c r="AG59" s="99"/>
      <c r="AH59" s="99"/>
      <c r="AI59" s="99"/>
      <c r="AJ59" s="99"/>
      <c r="AK59" s="99"/>
      <c r="AL59" s="99"/>
      <c r="AM59" s="99"/>
      <c r="AN59" s="99"/>
      <c r="AO59" s="99"/>
      <c r="AP59" s="99"/>
      <c r="AQ59" s="99"/>
      <c r="AR59" s="99"/>
      <c r="AS59" s="99"/>
      <c r="AT59" s="99"/>
      <c r="AU59" s="99"/>
    </row>
    <row r="60" spans="1:47" s="74" customFormat="1" x14ac:dyDescent="0.3">
      <c r="A60" s="99"/>
      <c r="B60" s="99"/>
      <c r="C60" s="100"/>
      <c r="D60" s="100"/>
      <c r="E60" s="101"/>
      <c r="F60" s="102"/>
      <c r="G60" s="99"/>
      <c r="H60" s="99"/>
      <c r="I60" s="99"/>
      <c r="J60" s="99"/>
      <c r="K60" s="99"/>
      <c r="L60" s="99"/>
      <c r="M60" s="99"/>
      <c r="N60" s="99"/>
      <c r="O60" s="99"/>
      <c r="P60" s="99"/>
      <c r="Q60" s="99"/>
      <c r="R60" s="99"/>
      <c r="S60" s="99"/>
      <c r="T60" s="99"/>
      <c r="U60" s="99"/>
      <c r="V60" s="99"/>
      <c r="W60" s="99"/>
      <c r="X60" s="99"/>
      <c r="Y60" s="99"/>
      <c r="Z60" s="99"/>
      <c r="AA60" s="99"/>
      <c r="AB60" s="99"/>
      <c r="AC60" s="99"/>
      <c r="AD60" s="99"/>
      <c r="AE60" s="99"/>
      <c r="AF60" s="99"/>
      <c r="AG60" s="99"/>
      <c r="AH60" s="99"/>
      <c r="AI60" s="99"/>
      <c r="AJ60" s="99"/>
      <c r="AK60" s="99"/>
      <c r="AL60" s="99"/>
      <c r="AM60" s="99"/>
      <c r="AN60" s="99"/>
      <c r="AO60" s="99"/>
      <c r="AP60" s="99"/>
      <c r="AQ60" s="99"/>
      <c r="AR60" s="99"/>
      <c r="AS60" s="99"/>
      <c r="AT60" s="99"/>
      <c r="AU60" s="99"/>
    </row>
    <row r="61" spans="1:47" s="74" customFormat="1" x14ac:dyDescent="0.3">
      <c r="A61" s="99"/>
      <c r="B61" s="99"/>
      <c r="C61" s="100"/>
      <c r="D61" s="100"/>
      <c r="E61" s="101"/>
      <c r="F61" s="102"/>
      <c r="G61" s="99"/>
      <c r="H61" s="99"/>
      <c r="I61" s="99"/>
      <c r="J61" s="99"/>
      <c r="K61" s="99"/>
      <c r="L61" s="99"/>
      <c r="M61" s="99"/>
      <c r="N61" s="99"/>
      <c r="O61" s="99"/>
      <c r="P61" s="99"/>
      <c r="Q61" s="99"/>
      <c r="R61" s="99"/>
      <c r="S61" s="99"/>
      <c r="T61" s="99"/>
      <c r="U61" s="99"/>
      <c r="V61" s="99"/>
      <c r="W61" s="99"/>
      <c r="X61" s="99"/>
      <c r="Y61" s="99"/>
      <c r="Z61" s="99"/>
      <c r="AA61" s="99"/>
      <c r="AB61" s="99"/>
      <c r="AC61" s="99"/>
      <c r="AD61" s="99"/>
      <c r="AE61" s="99"/>
      <c r="AF61" s="99"/>
      <c r="AG61" s="99"/>
      <c r="AH61" s="99"/>
      <c r="AI61" s="99"/>
      <c r="AJ61" s="99"/>
      <c r="AK61" s="99"/>
      <c r="AL61" s="99"/>
      <c r="AM61" s="99"/>
      <c r="AN61" s="99"/>
      <c r="AO61" s="99"/>
      <c r="AP61" s="99"/>
      <c r="AQ61" s="99"/>
      <c r="AR61" s="99"/>
      <c r="AS61" s="99"/>
      <c r="AT61" s="99"/>
      <c r="AU61" s="99"/>
    </row>
    <row r="62" spans="1:47" s="74" customFormat="1" x14ac:dyDescent="0.3">
      <c r="A62" s="99"/>
      <c r="B62" s="99"/>
      <c r="C62" s="100"/>
      <c r="D62" s="100"/>
      <c r="E62" s="101"/>
      <c r="F62" s="102"/>
      <c r="G62" s="99"/>
      <c r="H62" s="99"/>
      <c r="I62" s="99"/>
      <c r="J62" s="99"/>
      <c r="K62" s="99"/>
      <c r="L62" s="99"/>
      <c r="M62" s="99"/>
      <c r="N62" s="99"/>
      <c r="O62" s="99"/>
      <c r="P62" s="99"/>
      <c r="Q62" s="99"/>
      <c r="R62" s="99"/>
      <c r="S62" s="99"/>
      <c r="T62" s="99"/>
      <c r="U62" s="99"/>
      <c r="V62" s="99"/>
      <c r="W62" s="99"/>
      <c r="X62" s="99"/>
      <c r="Y62" s="99"/>
      <c r="Z62" s="99"/>
      <c r="AA62" s="99"/>
      <c r="AB62" s="99"/>
      <c r="AC62" s="99"/>
      <c r="AD62" s="99"/>
      <c r="AE62" s="99"/>
      <c r="AF62" s="99"/>
      <c r="AG62" s="99"/>
      <c r="AH62" s="99"/>
      <c r="AI62" s="99"/>
      <c r="AJ62" s="99"/>
      <c r="AK62" s="99"/>
      <c r="AL62" s="99"/>
      <c r="AM62" s="99"/>
      <c r="AN62" s="99"/>
      <c r="AO62" s="99"/>
      <c r="AP62" s="99"/>
      <c r="AQ62" s="99"/>
      <c r="AR62" s="99"/>
      <c r="AS62" s="99"/>
      <c r="AT62" s="99"/>
      <c r="AU62" s="99"/>
    </row>
    <row r="63" spans="1:47" s="74" customFormat="1" x14ac:dyDescent="0.3">
      <c r="A63" s="99"/>
      <c r="B63" s="99"/>
      <c r="C63" s="100"/>
      <c r="D63" s="100"/>
      <c r="E63" s="101"/>
      <c r="F63" s="102"/>
      <c r="G63" s="99"/>
      <c r="H63" s="99"/>
      <c r="I63" s="99"/>
      <c r="J63" s="99"/>
      <c r="K63" s="99"/>
      <c r="L63" s="99"/>
      <c r="M63" s="99"/>
      <c r="N63" s="99"/>
      <c r="O63" s="99"/>
      <c r="P63" s="99"/>
      <c r="Q63" s="99"/>
      <c r="R63" s="99"/>
      <c r="S63" s="99"/>
      <c r="T63" s="99"/>
      <c r="U63" s="99"/>
      <c r="V63" s="99"/>
      <c r="W63" s="99"/>
      <c r="X63" s="99"/>
      <c r="Y63" s="99"/>
      <c r="Z63" s="99"/>
      <c r="AA63" s="99"/>
      <c r="AB63" s="99"/>
      <c r="AC63" s="99"/>
      <c r="AD63" s="99"/>
      <c r="AE63" s="99"/>
      <c r="AF63" s="99"/>
      <c r="AG63" s="99"/>
      <c r="AH63" s="99"/>
      <c r="AI63" s="99"/>
      <c r="AJ63" s="99"/>
      <c r="AK63" s="99"/>
      <c r="AL63" s="99"/>
      <c r="AM63" s="99"/>
      <c r="AN63" s="99"/>
      <c r="AO63" s="99"/>
      <c r="AP63" s="99"/>
      <c r="AQ63" s="99"/>
      <c r="AR63" s="99"/>
      <c r="AS63" s="99"/>
      <c r="AT63" s="99"/>
      <c r="AU63" s="99"/>
    </row>
    <row r="64" spans="1:47" s="74" customFormat="1" x14ac:dyDescent="0.3">
      <c r="A64" s="99"/>
      <c r="B64" s="99"/>
      <c r="C64" s="100"/>
      <c r="D64" s="100"/>
      <c r="E64" s="101"/>
      <c r="F64" s="102"/>
      <c r="G64" s="99"/>
      <c r="H64" s="99"/>
      <c r="I64" s="99"/>
      <c r="J64" s="99"/>
      <c r="K64" s="99"/>
      <c r="L64" s="99"/>
      <c r="M64" s="99"/>
      <c r="N64" s="99"/>
      <c r="O64" s="99"/>
      <c r="P64" s="99"/>
      <c r="Q64" s="99"/>
      <c r="R64" s="99"/>
      <c r="S64" s="99"/>
      <c r="T64" s="99"/>
      <c r="U64" s="99"/>
      <c r="V64" s="99"/>
      <c r="W64" s="99"/>
      <c r="X64" s="99"/>
      <c r="Y64" s="99"/>
      <c r="Z64" s="99"/>
      <c r="AA64" s="99"/>
      <c r="AB64" s="99"/>
      <c r="AC64" s="99"/>
      <c r="AD64" s="99"/>
      <c r="AE64" s="99"/>
      <c r="AF64" s="99"/>
      <c r="AG64" s="99"/>
      <c r="AH64" s="99"/>
      <c r="AI64" s="99"/>
      <c r="AJ64" s="99"/>
      <c r="AK64" s="99"/>
      <c r="AL64" s="99"/>
      <c r="AM64" s="99"/>
      <c r="AN64" s="99"/>
      <c r="AO64" s="99"/>
      <c r="AP64" s="99"/>
      <c r="AQ64" s="99"/>
      <c r="AR64" s="99"/>
      <c r="AS64" s="99"/>
      <c r="AT64" s="99"/>
      <c r="AU64" s="99"/>
    </row>
    <row r="65" spans="1:47" s="74" customFormat="1" x14ac:dyDescent="0.3">
      <c r="A65" s="99"/>
      <c r="B65" s="99"/>
      <c r="C65" s="100"/>
      <c r="D65" s="100"/>
      <c r="E65" s="101"/>
      <c r="F65" s="102"/>
      <c r="G65" s="99"/>
      <c r="H65" s="99"/>
      <c r="I65" s="99"/>
      <c r="J65" s="99"/>
      <c r="K65" s="99"/>
      <c r="L65" s="99"/>
      <c r="M65" s="99"/>
      <c r="N65" s="99"/>
      <c r="O65" s="99"/>
      <c r="P65" s="99"/>
      <c r="Q65" s="99"/>
      <c r="R65" s="99"/>
      <c r="S65" s="99"/>
      <c r="T65" s="99"/>
      <c r="U65" s="99"/>
      <c r="V65" s="99"/>
      <c r="W65" s="99"/>
      <c r="X65" s="99"/>
      <c r="Y65" s="99"/>
      <c r="Z65" s="99"/>
      <c r="AA65" s="99"/>
      <c r="AB65" s="99"/>
      <c r="AC65" s="99"/>
      <c r="AD65" s="99"/>
      <c r="AE65" s="99"/>
      <c r="AF65" s="99"/>
      <c r="AG65" s="99"/>
      <c r="AH65" s="99"/>
      <c r="AI65" s="99"/>
      <c r="AJ65" s="99"/>
      <c r="AK65" s="99"/>
      <c r="AL65" s="99"/>
      <c r="AM65" s="99"/>
      <c r="AN65" s="99"/>
      <c r="AO65" s="99"/>
      <c r="AP65" s="99"/>
      <c r="AQ65" s="99"/>
      <c r="AR65" s="99"/>
      <c r="AS65" s="99"/>
      <c r="AT65" s="99"/>
      <c r="AU65" s="99"/>
    </row>
    <row r="66" spans="1:47" s="74" customFormat="1" x14ac:dyDescent="0.3">
      <c r="A66" s="99"/>
      <c r="B66" s="99"/>
      <c r="C66" s="100"/>
      <c r="D66" s="100"/>
      <c r="E66" s="101"/>
      <c r="F66" s="102"/>
      <c r="G66" s="99"/>
      <c r="H66" s="99"/>
      <c r="I66" s="99"/>
      <c r="J66" s="99"/>
      <c r="K66" s="99"/>
      <c r="L66" s="99"/>
      <c r="M66" s="99"/>
      <c r="N66" s="99"/>
      <c r="O66" s="99"/>
      <c r="P66" s="99"/>
      <c r="Q66" s="99"/>
      <c r="R66" s="99"/>
      <c r="S66" s="99"/>
      <c r="T66" s="99"/>
      <c r="U66" s="99"/>
      <c r="V66" s="99"/>
      <c r="W66" s="99"/>
      <c r="X66" s="99"/>
      <c r="Y66" s="99"/>
      <c r="Z66" s="99"/>
      <c r="AA66" s="99"/>
      <c r="AB66" s="99"/>
      <c r="AC66" s="99"/>
      <c r="AD66" s="99"/>
      <c r="AE66" s="99"/>
      <c r="AF66" s="99"/>
      <c r="AG66" s="99"/>
      <c r="AH66" s="99"/>
      <c r="AI66" s="99"/>
      <c r="AJ66" s="99"/>
      <c r="AK66" s="99"/>
      <c r="AL66" s="99"/>
      <c r="AM66" s="99"/>
      <c r="AN66" s="99"/>
      <c r="AO66" s="99"/>
      <c r="AP66" s="99"/>
      <c r="AQ66" s="99"/>
      <c r="AR66" s="99"/>
      <c r="AS66" s="99"/>
      <c r="AT66" s="99"/>
      <c r="AU66" s="99"/>
    </row>
    <row r="67" spans="1:47" s="74" customFormat="1" x14ac:dyDescent="0.3">
      <c r="A67" s="99"/>
      <c r="B67" s="99"/>
      <c r="C67" s="100"/>
      <c r="D67" s="100"/>
      <c r="E67" s="101"/>
      <c r="F67" s="102"/>
      <c r="G67" s="99"/>
      <c r="H67" s="99"/>
      <c r="I67" s="99"/>
      <c r="J67" s="99"/>
      <c r="K67" s="99"/>
      <c r="L67" s="99"/>
      <c r="M67" s="99"/>
      <c r="N67" s="99"/>
      <c r="O67" s="99"/>
      <c r="P67" s="99"/>
      <c r="Q67" s="99"/>
      <c r="R67" s="99"/>
      <c r="S67" s="99"/>
      <c r="T67" s="99"/>
      <c r="U67" s="99"/>
      <c r="V67" s="99"/>
      <c r="W67" s="99"/>
      <c r="X67" s="99"/>
      <c r="Y67" s="99"/>
      <c r="Z67" s="99"/>
      <c r="AA67" s="99"/>
      <c r="AB67" s="99"/>
      <c r="AC67" s="99"/>
      <c r="AD67" s="99"/>
      <c r="AE67" s="99"/>
      <c r="AF67" s="99"/>
      <c r="AG67" s="99"/>
      <c r="AH67" s="99"/>
      <c r="AI67" s="99"/>
      <c r="AJ67" s="99"/>
      <c r="AK67" s="99"/>
      <c r="AL67" s="99"/>
      <c r="AM67" s="99"/>
      <c r="AN67" s="99"/>
      <c r="AO67" s="99"/>
      <c r="AP67" s="99"/>
      <c r="AQ67" s="99"/>
      <c r="AR67" s="99"/>
      <c r="AS67" s="99"/>
      <c r="AT67" s="99"/>
      <c r="AU67" s="99"/>
    </row>
    <row r="68" spans="1:47" s="74" customFormat="1" x14ac:dyDescent="0.3">
      <c r="A68" s="99"/>
      <c r="B68" s="99"/>
      <c r="C68" s="100"/>
      <c r="D68" s="100"/>
      <c r="E68" s="101"/>
      <c r="F68" s="102"/>
      <c r="G68" s="99"/>
      <c r="H68" s="99"/>
      <c r="I68" s="99"/>
      <c r="J68" s="99"/>
      <c r="K68" s="99"/>
      <c r="L68" s="99"/>
      <c r="M68" s="99"/>
      <c r="N68" s="99"/>
      <c r="O68" s="99"/>
      <c r="P68" s="99"/>
      <c r="Q68" s="99"/>
      <c r="R68" s="99"/>
      <c r="S68" s="99"/>
      <c r="T68" s="99"/>
      <c r="U68" s="99"/>
      <c r="V68" s="99"/>
      <c r="W68" s="99"/>
      <c r="X68" s="99"/>
      <c r="Y68" s="99"/>
      <c r="Z68" s="99"/>
      <c r="AA68" s="99"/>
      <c r="AB68" s="99"/>
      <c r="AC68" s="99"/>
      <c r="AD68" s="99"/>
      <c r="AE68" s="99"/>
      <c r="AF68" s="99"/>
      <c r="AG68" s="99"/>
      <c r="AH68" s="99"/>
      <c r="AI68" s="99"/>
      <c r="AJ68" s="99"/>
      <c r="AK68" s="99"/>
      <c r="AL68" s="99"/>
      <c r="AM68" s="99"/>
      <c r="AN68" s="99"/>
      <c r="AO68" s="99"/>
      <c r="AP68" s="99"/>
      <c r="AQ68" s="99"/>
      <c r="AR68" s="99"/>
      <c r="AS68" s="99"/>
      <c r="AT68" s="99"/>
      <c r="AU68" s="99"/>
    </row>
    <row r="69" spans="1:47" s="74" customFormat="1" x14ac:dyDescent="0.3">
      <c r="A69" s="99"/>
      <c r="B69" s="99"/>
      <c r="C69" s="100"/>
      <c r="D69" s="100"/>
      <c r="E69" s="101"/>
      <c r="F69" s="102"/>
      <c r="G69" s="99"/>
      <c r="H69" s="99"/>
      <c r="I69" s="99"/>
      <c r="J69" s="99"/>
      <c r="K69" s="99"/>
      <c r="L69" s="99"/>
      <c r="M69" s="99"/>
      <c r="N69" s="99"/>
      <c r="O69" s="99"/>
      <c r="P69" s="99"/>
      <c r="Q69" s="99"/>
      <c r="R69" s="99"/>
      <c r="S69" s="99"/>
      <c r="T69" s="99"/>
      <c r="U69" s="99"/>
      <c r="V69" s="99"/>
      <c r="W69" s="99"/>
      <c r="X69" s="99"/>
      <c r="Y69" s="99"/>
      <c r="Z69" s="99"/>
      <c r="AA69" s="99"/>
      <c r="AB69" s="99"/>
      <c r="AC69" s="99"/>
      <c r="AD69" s="99"/>
      <c r="AE69" s="99"/>
      <c r="AF69" s="99"/>
      <c r="AG69" s="99"/>
      <c r="AH69" s="99"/>
      <c r="AI69" s="99"/>
      <c r="AJ69" s="99"/>
      <c r="AK69" s="99"/>
      <c r="AL69" s="99"/>
      <c r="AM69" s="99"/>
      <c r="AN69" s="99"/>
      <c r="AO69" s="99"/>
      <c r="AP69" s="99"/>
      <c r="AQ69" s="99"/>
      <c r="AR69" s="99"/>
      <c r="AS69" s="99"/>
      <c r="AT69" s="99"/>
      <c r="AU69" s="99"/>
    </row>
    <row r="70" spans="1:47" s="74" customFormat="1" x14ac:dyDescent="0.3">
      <c r="A70" s="99"/>
      <c r="B70" s="99"/>
      <c r="C70" s="100"/>
      <c r="D70" s="100"/>
      <c r="E70" s="101"/>
      <c r="F70" s="102"/>
      <c r="G70" s="99"/>
      <c r="H70" s="99"/>
      <c r="I70" s="99"/>
      <c r="J70" s="99"/>
      <c r="K70" s="99"/>
      <c r="L70" s="99"/>
      <c r="M70" s="99"/>
      <c r="N70" s="99"/>
      <c r="O70" s="99"/>
      <c r="P70" s="99"/>
      <c r="Q70" s="99"/>
      <c r="R70" s="99"/>
      <c r="S70" s="99"/>
      <c r="T70" s="99"/>
      <c r="U70" s="99"/>
      <c r="V70" s="99"/>
      <c r="W70" s="99"/>
      <c r="X70" s="99"/>
      <c r="Y70" s="99"/>
      <c r="Z70" s="99"/>
      <c r="AA70" s="99"/>
      <c r="AB70" s="99"/>
      <c r="AC70" s="99"/>
      <c r="AD70" s="99"/>
      <c r="AE70" s="99"/>
      <c r="AF70" s="99"/>
      <c r="AG70" s="99"/>
      <c r="AH70" s="99"/>
      <c r="AI70" s="99"/>
      <c r="AJ70" s="99"/>
      <c r="AK70" s="99"/>
      <c r="AL70" s="99"/>
      <c r="AM70" s="99"/>
      <c r="AN70" s="99"/>
      <c r="AO70" s="99"/>
      <c r="AP70" s="99"/>
      <c r="AQ70" s="99"/>
      <c r="AR70" s="99"/>
      <c r="AS70" s="99"/>
      <c r="AT70" s="99"/>
      <c r="AU70" s="99"/>
    </row>
    <row r="71" spans="1:47" s="74" customFormat="1" x14ac:dyDescent="0.3">
      <c r="A71" s="99"/>
      <c r="B71" s="99"/>
      <c r="C71" s="100"/>
      <c r="D71" s="100"/>
      <c r="E71" s="101"/>
      <c r="F71" s="102"/>
      <c r="G71" s="99"/>
      <c r="H71" s="99"/>
      <c r="I71" s="99"/>
      <c r="J71" s="99"/>
      <c r="K71" s="99"/>
      <c r="L71" s="99"/>
      <c r="M71" s="99"/>
      <c r="N71" s="99"/>
      <c r="O71" s="99"/>
      <c r="P71" s="99"/>
      <c r="Q71" s="99"/>
      <c r="R71" s="99"/>
      <c r="S71" s="99"/>
      <c r="T71" s="99"/>
      <c r="U71" s="99"/>
      <c r="V71" s="99"/>
      <c r="W71" s="99"/>
      <c r="X71" s="99"/>
      <c r="Y71" s="99"/>
      <c r="Z71" s="99"/>
      <c r="AA71" s="99"/>
      <c r="AB71" s="99"/>
      <c r="AC71" s="99"/>
      <c r="AD71" s="99"/>
      <c r="AE71" s="99"/>
      <c r="AF71" s="99"/>
      <c r="AG71" s="99"/>
      <c r="AH71" s="99"/>
      <c r="AI71" s="99"/>
      <c r="AJ71" s="99"/>
      <c r="AK71" s="99"/>
      <c r="AL71" s="99"/>
      <c r="AM71" s="99"/>
      <c r="AN71" s="99"/>
      <c r="AO71" s="99"/>
      <c r="AP71" s="99"/>
      <c r="AQ71" s="99"/>
      <c r="AR71" s="99"/>
      <c r="AS71" s="99"/>
      <c r="AT71" s="99"/>
      <c r="AU71" s="99"/>
    </row>
    <row r="72" spans="1:47" s="74" customFormat="1" x14ac:dyDescent="0.3">
      <c r="A72" s="99"/>
      <c r="B72" s="99"/>
      <c r="C72" s="100"/>
      <c r="D72" s="100"/>
      <c r="E72" s="101"/>
      <c r="F72" s="102"/>
      <c r="G72" s="99"/>
      <c r="H72" s="99"/>
      <c r="I72" s="99"/>
      <c r="J72" s="99"/>
      <c r="K72" s="99"/>
      <c r="L72" s="99"/>
      <c r="M72" s="99"/>
      <c r="N72" s="99"/>
      <c r="O72" s="99"/>
      <c r="P72" s="99"/>
      <c r="Q72" s="99"/>
      <c r="R72" s="99"/>
      <c r="S72" s="99"/>
      <c r="T72" s="99"/>
      <c r="U72" s="99"/>
      <c r="V72" s="99"/>
      <c r="W72" s="99"/>
      <c r="X72" s="99"/>
      <c r="Y72" s="99"/>
      <c r="Z72" s="99"/>
      <c r="AA72" s="99"/>
      <c r="AB72" s="99"/>
      <c r="AC72" s="99"/>
      <c r="AD72" s="99"/>
      <c r="AE72" s="99"/>
      <c r="AF72" s="99"/>
      <c r="AG72" s="99"/>
      <c r="AH72" s="99"/>
      <c r="AI72" s="99"/>
      <c r="AJ72" s="99"/>
      <c r="AK72" s="99"/>
      <c r="AL72" s="99"/>
      <c r="AM72" s="99"/>
      <c r="AN72" s="99"/>
      <c r="AO72" s="99"/>
      <c r="AP72" s="99"/>
      <c r="AQ72" s="99"/>
      <c r="AR72" s="99"/>
      <c r="AS72" s="99"/>
      <c r="AT72" s="99"/>
      <c r="AU72" s="99"/>
    </row>
    <row r="73" spans="1:47" s="74" customFormat="1" x14ac:dyDescent="0.3">
      <c r="A73" s="99"/>
      <c r="B73" s="99"/>
      <c r="C73" s="100"/>
      <c r="D73" s="100"/>
      <c r="E73" s="101"/>
      <c r="F73" s="102"/>
      <c r="G73" s="99"/>
      <c r="H73" s="99"/>
      <c r="I73" s="99"/>
      <c r="J73" s="99"/>
      <c r="K73" s="99"/>
      <c r="L73" s="99"/>
      <c r="M73" s="99"/>
      <c r="N73" s="99"/>
      <c r="O73" s="99"/>
      <c r="P73" s="99"/>
      <c r="Q73" s="99"/>
      <c r="R73" s="99"/>
      <c r="S73" s="99"/>
      <c r="T73" s="99"/>
      <c r="U73" s="99"/>
      <c r="V73" s="99"/>
      <c r="W73" s="99"/>
      <c r="X73" s="99"/>
      <c r="Y73" s="99"/>
      <c r="Z73" s="99"/>
      <c r="AA73" s="99"/>
      <c r="AB73" s="99"/>
      <c r="AC73" s="99"/>
      <c r="AD73" s="99"/>
      <c r="AE73" s="99"/>
      <c r="AF73" s="99"/>
      <c r="AG73" s="99"/>
      <c r="AH73" s="99"/>
      <c r="AI73" s="99"/>
      <c r="AJ73" s="99"/>
      <c r="AK73" s="99"/>
      <c r="AL73" s="99"/>
      <c r="AM73" s="99"/>
      <c r="AN73" s="99"/>
      <c r="AO73" s="99"/>
      <c r="AP73" s="99"/>
      <c r="AQ73" s="99"/>
      <c r="AR73" s="99"/>
      <c r="AS73" s="99"/>
      <c r="AT73" s="99"/>
      <c r="AU73" s="99"/>
    </row>
    <row r="74" spans="1:47" s="74" customFormat="1" x14ac:dyDescent="0.3">
      <c r="A74" s="99"/>
      <c r="B74" s="99"/>
      <c r="C74" s="100"/>
      <c r="D74" s="100"/>
      <c r="E74" s="101"/>
      <c r="F74" s="102"/>
      <c r="G74" s="99"/>
      <c r="H74" s="99"/>
      <c r="I74" s="99"/>
      <c r="J74" s="99"/>
      <c r="K74" s="99"/>
      <c r="L74" s="99"/>
      <c r="M74" s="99"/>
      <c r="N74" s="99"/>
      <c r="O74" s="99"/>
      <c r="P74" s="99"/>
      <c r="Q74" s="99"/>
      <c r="R74" s="99"/>
      <c r="S74" s="99"/>
      <c r="T74" s="99"/>
      <c r="U74" s="99"/>
      <c r="V74" s="99"/>
      <c r="W74" s="99"/>
      <c r="X74" s="99"/>
      <c r="Y74" s="99"/>
      <c r="Z74" s="99"/>
      <c r="AA74" s="99"/>
      <c r="AB74" s="99"/>
      <c r="AC74" s="99"/>
      <c r="AD74" s="99"/>
      <c r="AE74" s="99"/>
      <c r="AF74" s="99"/>
      <c r="AG74" s="99"/>
      <c r="AH74" s="99"/>
      <c r="AI74" s="99"/>
      <c r="AJ74" s="99"/>
      <c r="AK74" s="99"/>
      <c r="AL74" s="99"/>
      <c r="AM74" s="99"/>
      <c r="AN74" s="99"/>
      <c r="AO74" s="99"/>
      <c r="AP74" s="99"/>
      <c r="AQ74" s="99"/>
      <c r="AR74" s="99"/>
      <c r="AS74" s="99"/>
      <c r="AT74" s="99"/>
      <c r="AU74" s="99"/>
    </row>
    <row r="75" spans="1:47" s="74" customFormat="1" x14ac:dyDescent="0.3">
      <c r="A75" s="99"/>
      <c r="B75" s="99"/>
      <c r="C75" s="100"/>
      <c r="D75" s="100"/>
      <c r="E75" s="101"/>
      <c r="F75" s="102"/>
      <c r="G75" s="99"/>
      <c r="H75" s="99"/>
      <c r="I75" s="99"/>
      <c r="J75" s="99"/>
      <c r="K75" s="99"/>
      <c r="L75" s="99"/>
      <c r="M75" s="99"/>
      <c r="N75" s="99"/>
      <c r="O75" s="99"/>
      <c r="P75" s="99"/>
      <c r="Q75" s="99"/>
      <c r="R75" s="99"/>
      <c r="S75" s="99"/>
      <c r="T75" s="99"/>
      <c r="U75" s="99"/>
      <c r="V75" s="99"/>
      <c r="W75" s="99"/>
      <c r="X75" s="99"/>
      <c r="Y75" s="99"/>
      <c r="Z75" s="99"/>
      <c r="AA75" s="99"/>
      <c r="AB75" s="99"/>
      <c r="AC75" s="99"/>
      <c r="AD75" s="99"/>
      <c r="AE75" s="99"/>
      <c r="AF75" s="99"/>
      <c r="AG75" s="99"/>
      <c r="AH75" s="99"/>
      <c r="AI75" s="99"/>
      <c r="AJ75" s="99"/>
      <c r="AK75" s="99"/>
      <c r="AL75" s="99"/>
      <c r="AM75" s="99"/>
      <c r="AN75" s="99"/>
      <c r="AO75" s="99"/>
      <c r="AP75" s="99"/>
      <c r="AQ75" s="99"/>
      <c r="AR75" s="99"/>
      <c r="AS75" s="99"/>
      <c r="AT75" s="99"/>
      <c r="AU75" s="99"/>
    </row>
    <row r="76" spans="1:47" s="74" customFormat="1" x14ac:dyDescent="0.3">
      <c r="A76" s="99"/>
      <c r="B76" s="99"/>
      <c r="C76" s="100"/>
      <c r="D76" s="100"/>
      <c r="E76" s="101"/>
      <c r="F76" s="102"/>
      <c r="G76" s="99"/>
      <c r="H76" s="99"/>
      <c r="I76" s="99"/>
      <c r="J76" s="99"/>
      <c r="K76" s="99"/>
      <c r="L76" s="99"/>
      <c r="M76" s="99"/>
      <c r="N76" s="99"/>
      <c r="O76" s="99"/>
      <c r="P76" s="99"/>
      <c r="Q76" s="99"/>
      <c r="R76" s="99"/>
      <c r="S76" s="99"/>
      <c r="T76" s="99"/>
      <c r="U76" s="99"/>
      <c r="V76" s="99"/>
      <c r="W76" s="99"/>
      <c r="X76" s="99"/>
      <c r="Y76" s="99"/>
      <c r="Z76" s="99"/>
      <c r="AA76" s="99"/>
      <c r="AB76" s="99"/>
      <c r="AC76" s="99"/>
      <c r="AD76" s="99"/>
      <c r="AE76" s="99"/>
      <c r="AF76" s="99"/>
      <c r="AG76" s="99"/>
      <c r="AH76" s="99"/>
      <c r="AI76" s="99"/>
      <c r="AJ76" s="99"/>
      <c r="AK76" s="99"/>
      <c r="AL76" s="99"/>
      <c r="AM76" s="99"/>
      <c r="AN76" s="99"/>
      <c r="AO76" s="99"/>
      <c r="AP76" s="99"/>
      <c r="AQ76" s="99"/>
      <c r="AR76" s="99"/>
      <c r="AS76" s="99"/>
      <c r="AT76" s="99"/>
      <c r="AU76" s="99"/>
    </row>
    <row r="77" spans="1:47" s="74" customFormat="1" x14ac:dyDescent="0.3">
      <c r="A77" s="99"/>
      <c r="B77" s="99"/>
      <c r="C77" s="100"/>
      <c r="D77" s="100"/>
      <c r="E77" s="101"/>
      <c r="F77" s="102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99"/>
      <c r="S77" s="99"/>
      <c r="T77" s="99"/>
      <c r="U77" s="99"/>
      <c r="V77" s="99"/>
      <c r="W77" s="99"/>
      <c r="X77" s="99"/>
      <c r="Y77" s="99"/>
      <c r="Z77" s="99"/>
      <c r="AA77" s="99"/>
      <c r="AB77" s="99"/>
      <c r="AC77" s="99"/>
      <c r="AD77" s="99"/>
      <c r="AE77" s="99"/>
      <c r="AF77" s="99"/>
      <c r="AG77" s="99"/>
      <c r="AH77" s="99"/>
      <c r="AI77" s="99"/>
      <c r="AJ77" s="99"/>
      <c r="AK77" s="99"/>
      <c r="AL77" s="99"/>
      <c r="AM77" s="99"/>
      <c r="AN77" s="99"/>
      <c r="AO77" s="99"/>
      <c r="AP77" s="99"/>
      <c r="AQ77" s="99"/>
      <c r="AR77" s="99"/>
      <c r="AS77" s="99"/>
      <c r="AT77" s="99"/>
      <c r="AU77" s="99"/>
    </row>
    <row r="78" spans="1:47" s="74" customFormat="1" x14ac:dyDescent="0.3">
      <c r="A78" s="99"/>
      <c r="B78" s="99"/>
      <c r="C78" s="100"/>
      <c r="D78" s="100"/>
      <c r="E78" s="101"/>
      <c r="F78" s="102"/>
      <c r="G78" s="99"/>
      <c r="H78" s="99"/>
      <c r="I78" s="99"/>
      <c r="J78" s="99"/>
      <c r="K78" s="99"/>
      <c r="L78" s="99"/>
      <c r="M78" s="99"/>
      <c r="N78" s="99"/>
      <c r="O78" s="99"/>
      <c r="P78" s="99"/>
      <c r="Q78" s="99"/>
      <c r="R78" s="99"/>
      <c r="S78" s="99"/>
      <c r="T78" s="99"/>
      <c r="U78" s="99"/>
      <c r="V78" s="99"/>
      <c r="W78" s="99"/>
      <c r="X78" s="99"/>
      <c r="Y78" s="99"/>
      <c r="Z78" s="99"/>
      <c r="AA78" s="99"/>
      <c r="AB78" s="99"/>
      <c r="AC78" s="99"/>
      <c r="AD78" s="99"/>
      <c r="AE78" s="99"/>
      <c r="AF78" s="99"/>
      <c r="AG78" s="99"/>
      <c r="AH78" s="99"/>
      <c r="AI78" s="99"/>
      <c r="AJ78" s="99"/>
      <c r="AK78" s="99"/>
      <c r="AL78" s="99"/>
      <c r="AM78" s="99"/>
      <c r="AN78" s="99"/>
      <c r="AO78" s="99"/>
      <c r="AP78" s="99"/>
      <c r="AQ78" s="99"/>
      <c r="AR78" s="99"/>
      <c r="AS78" s="99"/>
      <c r="AT78" s="99"/>
      <c r="AU78" s="99"/>
    </row>
    <row r="79" spans="1:47" s="74" customFormat="1" x14ac:dyDescent="0.3">
      <c r="A79" s="99"/>
      <c r="B79" s="99"/>
      <c r="C79" s="100"/>
      <c r="D79" s="100"/>
      <c r="E79" s="101"/>
      <c r="F79" s="102"/>
      <c r="G79" s="99"/>
      <c r="H79" s="99"/>
      <c r="I79" s="99"/>
      <c r="J79" s="99"/>
      <c r="K79" s="99"/>
      <c r="L79" s="99"/>
      <c r="M79" s="99"/>
      <c r="N79" s="99"/>
      <c r="O79" s="99"/>
      <c r="P79" s="99"/>
      <c r="Q79" s="99"/>
      <c r="R79" s="99"/>
      <c r="S79" s="99"/>
      <c r="T79" s="99"/>
      <c r="U79" s="99"/>
      <c r="V79" s="99"/>
      <c r="W79" s="99"/>
      <c r="X79" s="99"/>
      <c r="Y79" s="99"/>
      <c r="Z79" s="99"/>
      <c r="AA79" s="99"/>
      <c r="AB79" s="99"/>
      <c r="AC79" s="99"/>
      <c r="AD79" s="99"/>
      <c r="AE79" s="99"/>
      <c r="AF79" s="99"/>
      <c r="AG79" s="99"/>
      <c r="AH79" s="99"/>
      <c r="AI79" s="99"/>
      <c r="AJ79" s="99"/>
      <c r="AK79" s="99"/>
      <c r="AL79" s="99"/>
      <c r="AM79" s="99"/>
      <c r="AN79" s="99"/>
      <c r="AO79" s="99"/>
      <c r="AP79" s="99"/>
      <c r="AQ79" s="99"/>
      <c r="AR79" s="99"/>
      <c r="AS79" s="99"/>
      <c r="AT79" s="99"/>
      <c r="AU79" s="99"/>
    </row>
    <row r="80" spans="1:47" s="74" customFormat="1" x14ac:dyDescent="0.3">
      <c r="A80" s="99"/>
      <c r="B80" s="99"/>
      <c r="C80" s="100"/>
      <c r="D80" s="100"/>
      <c r="E80" s="101"/>
      <c r="F80" s="102"/>
      <c r="G80" s="99"/>
      <c r="H80" s="99"/>
      <c r="I80" s="99"/>
      <c r="J80" s="99"/>
      <c r="K80" s="99"/>
      <c r="L80" s="99"/>
      <c r="M80" s="99"/>
      <c r="N80" s="99"/>
      <c r="O80" s="99"/>
      <c r="P80" s="99"/>
      <c r="Q80" s="99"/>
      <c r="R80" s="99"/>
      <c r="S80" s="99"/>
      <c r="T80" s="99"/>
      <c r="U80" s="99"/>
      <c r="V80" s="99"/>
      <c r="W80" s="99"/>
      <c r="X80" s="99"/>
      <c r="Y80" s="99"/>
      <c r="Z80" s="99"/>
      <c r="AA80" s="99"/>
      <c r="AB80" s="99"/>
      <c r="AC80" s="99"/>
      <c r="AD80" s="99"/>
      <c r="AE80" s="99"/>
      <c r="AF80" s="99"/>
      <c r="AG80" s="99"/>
      <c r="AH80" s="99"/>
      <c r="AI80" s="99"/>
      <c r="AJ80" s="99"/>
      <c r="AK80" s="99"/>
      <c r="AL80" s="99"/>
      <c r="AM80" s="99"/>
      <c r="AN80" s="99"/>
      <c r="AO80" s="99"/>
      <c r="AP80" s="99"/>
      <c r="AQ80" s="99"/>
      <c r="AR80" s="99"/>
      <c r="AS80" s="99"/>
      <c r="AT80" s="99"/>
      <c r="AU80" s="99"/>
    </row>
    <row r="81" spans="1:47" s="74" customFormat="1" x14ac:dyDescent="0.3">
      <c r="A81" s="99"/>
      <c r="B81" s="99"/>
      <c r="C81" s="100"/>
      <c r="D81" s="100"/>
      <c r="E81" s="101"/>
      <c r="F81" s="102"/>
      <c r="G81" s="99"/>
      <c r="H81" s="99"/>
      <c r="I81" s="99"/>
      <c r="J81" s="99"/>
      <c r="K81" s="99"/>
      <c r="L81" s="99"/>
      <c r="M81" s="99"/>
      <c r="N81" s="99"/>
      <c r="O81" s="99"/>
      <c r="P81" s="99"/>
      <c r="Q81" s="99"/>
      <c r="R81" s="99"/>
      <c r="S81" s="99"/>
      <c r="T81" s="99"/>
      <c r="U81" s="99"/>
      <c r="V81" s="99"/>
      <c r="W81" s="99"/>
      <c r="X81" s="99"/>
      <c r="Y81" s="99"/>
      <c r="Z81" s="99"/>
      <c r="AA81" s="99"/>
      <c r="AB81" s="99"/>
      <c r="AC81" s="99"/>
      <c r="AD81" s="99"/>
      <c r="AE81" s="99"/>
      <c r="AF81" s="99"/>
      <c r="AG81" s="99"/>
      <c r="AH81" s="99"/>
      <c r="AI81" s="99"/>
      <c r="AJ81" s="99"/>
      <c r="AK81" s="99"/>
      <c r="AL81" s="99"/>
      <c r="AM81" s="99"/>
      <c r="AN81" s="99"/>
      <c r="AO81" s="99"/>
      <c r="AP81" s="99"/>
      <c r="AQ81" s="99"/>
      <c r="AR81" s="99"/>
      <c r="AS81" s="99"/>
      <c r="AT81" s="99"/>
      <c r="AU81" s="99"/>
    </row>
    <row r="82" spans="1:47" s="74" customFormat="1" x14ac:dyDescent="0.3">
      <c r="A82" s="99"/>
      <c r="B82" s="99"/>
      <c r="C82" s="100"/>
      <c r="D82" s="100"/>
      <c r="E82" s="101"/>
      <c r="F82" s="102"/>
      <c r="G82" s="99"/>
      <c r="H82" s="99"/>
      <c r="I82" s="99"/>
      <c r="J82" s="99"/>
      <c r="K82" s="99"/>
      <c r="L82" s="99"/>
      <c r="M82" s="99"/>
      <c r="N82" s="99"/>
      <c r="O82" s="99"/>
      <c r="P82" s="99"/>
      <c r="Q82" s="99"/>
      <c r="R82" s="99"/>
      <c r="S82" s="99"/>
      <c r="T82" s="99"/>
      <c r="U82" s="99"/>
      <c r="V82" s="99"/>
      <c r="W82" s="99"/>
      <c r="X82" s="99"/>
      <c r="Y82" s="99"/>
      <c r="Z82" s="99"/>
      <c r="AA82" s="99"/>
      <c r="AB82" s="99"/>
      <c r="AC82" s="99"/>
      <c r="AD82" s="99"/>
      <c r="AE82" s="99"/>
      <c r="AF82" s="99"/>
      <c r="AG82" s="99"/>
      <c r="AH82" s="99"/>
      <c r="AI82" s="99"/>
      <c r="AJ82" s="99"/>
      <c r="AK82" s="99"/>
      <c r="AL82" s="99"/>
      <c r="AM82" s="99"/>
      <c r="AN82" s="99"/>
      <c r="AO82" s="99"/>
      <c r="AP82" s="99"/>
      <c r="AQ82" s="99"/>
      <c r="AR82" s="99"/>
      <c r="AS82" s="99"/>
      <c r="AT82" s="99"/>
      <c r="AU82" s="99"/>
    </row>
    <row r="83" spans="1:47" s="74" customFormat="1" x14ac:dyDescent="0.3">
      <c r="A83" s="99"/>
      <c r="B83" s="99"/>
      <c r="C83" s="100"/>
      <c r="D83" s="100"/>
      <c r="E83" s="101"/>
      <c r="F83" s="102"/>
      <c r="G83" s="99"/>
      <c r="H83" s="99"/>
      <c r="I83" s="99"/>
      <c r="J83" s="99"/>
      <c r="K83" s="99"/>
      <c r="L83" s="99"/>
      <c r="M83" s="99"/>
      <c r="N83" s="99"/>
      <c r="O83" s="99"/>
      <c r="P83" s="99"/>
      <c r="Q83" s="99"/>
      <c r="R83" s="99"/>
      <c r="S83" s="99"/>
      <c r="T83" s="99"/>
      <c r="U83" s="99"/>
      <c r="V83" s="99"/>
      <c r="W83" s="99"/>
      <c r="X83" s="99"/>
      <c r="Y83" s="99"/>
      <c r="Z83" s="99"/>
      <c r="AA83" s="99"/>
      <c r="AB83" s="99"/>
      <c r="AC83" s="99"/>
      <c r="AD83" s="99"/>
      <c r="AE83" s="99"/>
      <c r="AF83" s="99"/>
      <c r="AG83" s="99"/>
      <c r="AH83" s="99"/>
      <c r="AI83" s="99"/>
      <c r="AJ83" s="99"/>
      <c r="AK83" s="99"/>
      <c r="AL83" s="99"/>
      <c r="AM83" s="99"/>
      <c r="AN83" s="99"/>
      <c r="AO83" s="99"/>
      <c r="AP83" s="99"/>
      <c r="AQ83" s="99"/>
      <c r="AR83" s="99"/>
      <c r="AS83" s="99"/>
      <c r="AT83" s="99"/>
      <c r="AU83" s="99"/>
    </row>
    <row r="84" spans="1:47" s="74" customFormat="1" x14ac:dyDescent="0.3">
      <c r="A84" s="99"/>
      <c r="B84" s="99"/>
      <c r="C84" s="100"/>
      <c r="D84" s="100"/>
      <c r="E84" s="101"/>
      <c r="F84" s="102"/>
      <c r="G84" s="99"/>
      <c r="H84" s="99"/>
      <c r="I84" s="99"/>
      <c r="J84" s="99"/>
      <c r="K84" s="99"/>
      <c r="L84" s="99"/>
      <c r="M84" s="99"/>
      <c r="N84" s="99"/>
      <c r="O84" s="99"/>
      <c r="P84" s="99"/>
      <c r="Q84" s="99"/>
      <c r="R84" s="99"/>
      <c r="S84" s="99"/>
      <c r="T84" s="99"/>
      <c r="U84" s="99"/>
      <c r="V84" s="99"/>
      <c r="W84" s="99"/>
      <c r="X84" s="99"/>
      <c r="Y84" s="99"/>
      <c r="Z84" s="99"/>
      <c r="AA84" s="99"/>
      <c r="AB84" s="99"/>
      <c r="AC84" s="99"/>
      <c r="AD84" s="99"/>
      <c r="AE84" s="99"/>
      <c r="AF84" s="99"/>
      <c r="AG84" s="99"/>
      <c r="AH84" s="99"/>
      <c r="AI84" s="99"/>
      <c r="AJ84" s="99"/>
      <c r="AK84" s="99"/>
      <c r="AL84" s="99"/>
      <c r="AM84" s="99"/>
      <c r="AN84" s="99"/>
      <c r="AO84" s="99"/>
      <c r="AP84" s="99"/>
      <c r="AQ84" s="99"/>
      <c r="AR84" s="99"/>
      <c r="AS84" s="99"/>
      <c r="AT84" s="99"/>
      <c r="AU84" s="99"/>
    </row>
    <row r="85" spans="1:47" s="74" customFormat="1" x14ac:dyDescent="0.3">
      <c r="A85" s="99"/>
      <c r="B85" s="99"/>
      <c r="C85" s="100"/>
      <c r="D85" s="100"/>
      <c r="E85" s="101"/>
      <c r="F85" s="102"/>
      <c r="G85" s="99"/>
      <c r="H85" s="99"/>
      <c r="I85" s="99"/>
      <c r="J85" s="99"/>
      <c r="K85" s="99"/>
      <c r="L85" s="99"/>
      <c r="M85" s="99"/>
      <c r="N85" s="99"/>
      <c r="O85" s="99"/>
      <c r="P85" s="99"/>
      <c r="Q85" s="99"/>
      <c r="R85" s="99"/>
      <c r="S85" s="99"/>
      <c r="T85" s="99"/>
      <c r="U85" s="99"/>
      <c r="V85" s="99"/>
      <c r="W85" s="99"/>
      <c r="X85" s="99"/>
      <c r="Y85" s="99"/>
      <c r="Z85" s="99"/>
      <c r="AA85" s="99"/>
      <c r="AB85" s="99"/>
      <c r="AC85" s="99"/>
      <c r="AD85" s="99"/>
      <c r="AE85" s="99"/>
      <c r="AF85" s="99"/>
      <c r="AG85" s="99"/>
      <c r="AH85" s="99"/>
      <c r="AI85" s="99"/>
      <c r="AJ85" s="99"/>
      <c r="AK85" s="99"/>
      <c r="AL85" s="99"/>
      <c r="AM85" s="99"/>
      <c r="AN85" s="99"/>
      <c r="AO85" s="99"/>
      <c r="AP85" s="99"/>
      <c r="AQ85" s="99"/>
      <c r="AR85" s="99"/>
      <c r="AS85" s="99"/>
      <c r="AT85" s="99"/>
      <c r="AU85" s="99"/>
    </row>
    <row r="86" spans="1:47" s="74" customFormat="1" x14ac:dyDescent="0.3">
      <c r="A86" s="99"/>
      <c r="B86" s="99"/>
      <c r="C86" s="100"/>
      <c r="D86" s="100"/>
      <c r="E86" s="101"/>
      <c r="F86" s="102"/>
      <c r="G86" s="99"/>
      <c r="H86" s="99"/>
      <c r="I86" s="99"/>
      <c r="J86" s="99"/>
      <c r="K86" s="99"/>
      <c r="L86" s="99"/>
      <c r="M86" s="99"/>
      <c r="N86" s="99"/>
      <c r="O86" s="99"/>
      <c r="P86" s="99"/>
      <c r="Q86" s="99"/>
      <c r="R86" s="99"/>
      <c r="S86" s="99"/>
      <c r="T86" s="99"/>
      <c r="U86" s="99"/>
      <c r="V86" s="99"/>
      <c r="W86" s="99"/>
      <c r="X86" s="99"/>
      <c r="Y86" s="99"/>
      <c r="Z86" s="99"/>
      <c r="AA86" s="99"/>
      <c r="AB86" s="99"/>
      <c r="AC86" s="99"/>
      <c r="AD86" s="99"/>
      <c r="AE86" s="99"/>
      <c r="AF86" s="99"/>
      <c r="AG86" s="99"/>
      <c r="AH86" s="99"/>
      <c r="AI86" s="99"/>
      <c r="AJ86" s="99"/>
      <c r="AK86" s="99"/>
      <c r="AL86" s="99"/>
      <c r="AM86" s="99"/>
      <c r="AN86" s="99"/>
      <c r="AO86" s="99"/>
      <c r="AP86" s="99"/>
      <c r="AQ86" s="99"/>
      <c r="AR86" s="99"/>
      <c r="AS86" s="99"/>
      <c r="AT86" s="99"/>
      <c r="AU86" s="99"/>
    </row>
    <row r="87" spans="1:47" s="74" customFormat="1" x14ac:dyDescent="0.3">
      <c r="A87" s="99"/>
      <c r="B87" s="99"/>
      <c r="C87" s="100"/>
      <c r="D87" s="100"/>
      <c r="E87" s="101"/>
      <c r="F87" s="102"/>
      <c r="G87" s="99"/>
      <c r="H87" s="99"/>
      <c r="I87" s="99"/>
      <c r="J87" s="99"/>
      <c r="K87" s="99"/>
      <c r="L87" s="99"/>
      <c r="M87" s="99"/>
      <c r="N87" s="99"/>
      <c r="O87" s="99"/>
      <c r="P87" s="99"/>
      <c r="Q87" s="99"/>
      <c r="R87" s="99"/>
      <c r="S87" s="99"/>
      <c r="T87" s="99"/>
      <c r="U87" s="99"/>
      <c r="V87" s="99"/>
      <c r="W87" s="99"/>
      <c r="X87" s="99"/>
      <c r="Y87" s="99"/>
      <c r="Z87" s="99"/>
      <c r="AA87" s="99"/>
      <c r="AB87" s="99"/>
      <c r="AC87" s="99"/>
      <c r="AD87" s="99"/>
      <c r="AE87" s="99"/>
      <c r="AF87" s="99"/>
      <c r="AG87" s="99"/>
      <c r="AH87" s="99"/>
      <c r="AI87" s="99"/>
      <c r="AJ87" s="99"/>
      <c r="AK87" s="99"/>
      <c r="AL87" s="99"/>
      <c r="AM87" s="99"/>
      <c r="AN87" s="99"/>
      <c r="AO87" s="99"/>
      <c r="AP87" s="99"/>
      <c r="AQ87" s="99"/>
      <c r="AR87" s="99"/>
      <c r="AS87" s="99"/>
      <c r="AT87" s="99"/>
      <c r="AU87" s="99"/>
    </row>
    <row r="88" spans="1:47" s="74" customFormat="1" x14ac:dyDescent="0.3">
      <c r="A88" s="99"/>
      <c r="B88" s="99"/>
      <c r="C88" s="100"/>
      <c r="D88" s="100"/>
      <c r="E88" s="101"/>
      <c r="F88" s="102"/>
      <c r="G88" s="99"/>
      <c r="H88" s="99"/>
      <c r="I88" s="99"/>
      <c r="J88" s="99"/>
      <c r="K88" s="99"/>
      <c r="L88" s="99"/>
      <c r="M88" s="99"/>
      <c r="N88" s="99"/>
      <c r="O88" s="99"/>
      <c r="P88" s="99"/>
      <c r="Q88" s="99"/>
      <c r="R88" s="99"/>
      <c r="S88" s="99"/>
      <c r="T88" s="99"/>
      <c r="U88" s="99"/>
      <c r="V88" s="99"/>
      <c r="W88" s="99"/>
      <c r="X88" s="99"/>
      <c r="Y88" s="99"/>
      <c r="Z88" s="99"/>
      <c r="AA88" s="99"/>
      <c r="AB88" s="99"/>
      <c r="AC88" s="99"/>
      <c r="AD88" s="99"/>
      <c r="AE88" s="99"/>
      <c r="AF88" s="99"/>
      <c r="AG88" s="99"/>
      <c r="AH88" s="99"/>
      <c r="AI88" s="99"/>
      <c r="AJ88" s="99"/>
      <c r="AK88" s="99"/>
      <c r="AL88" s="99"/>
      <c r="AM88" s="99"/>
      <c r="AN88" s="99"/>
      <c r="AO88" s="99"/>
      <c r="AP88" s="99"/>
      <c r="AQ88" s="99"/>
      <c r="AR88" s="99"/>
      <c r="AS88" s="99"/>
      <c r="AT88" s="99"/>
      <c r="AU88" s="99"/>
    </row>
    <row r="89" spans="1:47" s="74" customFormat="1" x14ac:dyDescent="0.3">
      <c r="A89" s="99"/>
      <c r="B89" s="99"/>
      <c r="C89" s="100"/>
      <c r="D89" s="100"/>
      <c r="E89" s="101"/>
      <c r="F89" s="102"/>
      <c r="G89" s="99"/>
      <c r="H89" s="99"/>
      <c r="I89" s="99"/>
      <c r="J89" s="99"/>
      <c r="K89" s="99"/>
      <c r="L89" s="99"/>
      <c r="M89" s="99"/>
      <c r="N89" s="99"/>
      <c r="O89" s="99"/>
      <c r="P89" s="99"/>
      <c r="Q89" s="99"/>
      <c r="R89" s="99"/>
      <c r="S89" s="99"/>
      <c r="T89" s="99"/>
      <c r="U89" s="99"/>
      <c r="V89" s="99"/>
      <c r="W89" s="99"/>
      <c r="X89" s="99"/>
      <c r="Y89" s="99"/>
      <c r="Z89" s="99"/>
      <c r="AA89" s="99"/>
      <c r="AB89" s="99"/>
      <c r="AC89" s="99"/>
      <c r="AD89" s="99"/>
      <c r="AE89" s="99"/>
      <c r="AF89" s="99"/>
      <c r="AG89" s="99"/>
      <c r="AH89" s="99"/>
      <c r="AI89" s="99"/>
      <c r="AJ89" s="99"/>
      <c r="AK89" s="99"/>
      <c r="AL89" s="99"/>
      <c r="AM89" s="99"/>
      <c r="AN89" s="99"/>
      <c r="AO89" s="99"/>
      <c r="AP89" s="99"/>
      <c r="AQ89" s="99"/>
      <c r="AR89" s="99"/>
      <c r="AS89" s="99"/>
      <c r="AT89" s="99"/>
      <c r="AU89" s="99"/>
    </row>
    <row r="90" spans="1:47" s="74" customFormat="1" x14ac:dyDescent="0.3">
      <c r="A90" s="99"/>
      <c r="B90" s="99"/>
      <c r="C90" s="100"/>
      <c r="D90" s="100"/>
      <c r="E90" s="101"/>
      <c r="F90" s="102"/>
      <c r="G90" s="99"/>
      <c r="H90" s="99"/>
      <c r="I90" s="99"/>
      <c r="J90" s="99"/>
      <c r="K90" s="99"/>
      <c r="L90" s="99"/>
      <c r="M90" s="99"/>
      <c r="N90" s="99"/>
      <c r="O90" s="99"/>
      <c r="P90" s="99"/>
      <c r="Q90" s="99"/>
      <c r="R90" s="99"/>
      <c r="S90" s="99"/>
      <c r="T90" s="99"/>
      <c r="U90" s="99"/>
      <c r="V90" s="99"/>
      <c r="W90" s="99"/>
      <c r="X90" s="99"/>
      <c r="Y90" s="99"/>
      <c r="Z90" s="99"/>
      <c r="AA90" s="99"/>
      <c r="AB90" s="99"/>
      <c r="AC90" s="99"/>
      <c r="AD90" s="99"/>
      <c r="AE90" s="99"/>
      <c r="AF90" s="99"/>
      <c r="AG90" s="99"/>
      <c r="AH90" s="99"/>
      <c r="AI90" s="99"/>
      <c r="AJ90" s="99"/>
      <c r="AK90" s="99"/>
      <c r="AL90" s="99"/>
      <c r="AM90" s="99"/>
      <c r="AN90" s="99"/>
      <c r="AO90" s="99"/>
      <c r="AP90" s="99"/>
      <c r="AQ90" s="99"/>
      <c r="AR90" s="99"/>
      <c r="AS90" s="99"/>
      <c r="AT90" s="99"/>
      <c r="AU90" s="99"/>
    </row>
    <row r="91" spans="1:47" s="74" customFormat="1" x14ac:dyDescent="0.3">
      <c r="A91" s="99"/>
      <c r="B91" s="99"/>
      <c r="C91" s="100"/>
      <c r="D91" s="100"/>
      <c r="E91" s="101"/>
      <c r="F91" s="102"/>
      <c r="G91" s="99"/>
      <c r="H91" s="99"/>
      <c r="I91" s="99"/>
      <c r="J91" s="99"/>
      <c r="K91" s="99"/>
      <c r="L91" s="99"/>
      <c r="M91" s="99"/>
      <c r="N91" s="99"/>
      <c r="O91" s="99"/>
      <c r="P91" s="99"/>
      <c r="Q91" s="99"/>
      <c r="R91" s="99"/>
      <c r="S91" s="99"/>
      <c r="T91" s="99"/>
      <c r="U91" s="99"/>
      <c r="V91" s="99"/>
      <c r="W91" s="99"/>
      <c r="X91" s="99"/>
      <c r="Y91" s="99"/>
      <c r="Z91" s="99"/>
      <c r="AA91" s="99"/>
      <c r="AB91" s="99"/>
      <c r="AC91" s="99"/>
      <c r="AD91" s="99"/>
      <c r="AE91" s="99"/>
      <c r="AF91" s="99"/>
      <c r="AG91" s="99"/>
      <c r="AH91" s="99"/>
      <c r="AI91" s="99"/>
      <c r="AJ91" s="99"/>
      <c r="AK91" s="99"/>
      <c r="AL91" s="99"/>
      <c r="AM91" s="99"/>
      <c r="AN91" s="99"/>
      <c r="AO91" s="99"/>
      <c r="AP91" s="99"/>
      <c r="AQ91" s="99"/>
      <c r="AR91" s="99"/>
      <c r="AS91" s="99"/>
      <c r="AT91" s="99"/>
      <c r="AU91" s="99"/>
    </row>
    <row r="92" spans="1:47" s="74" customFormat="1" x14ac:dyDescent="0.3">
      <c r="A92" s="99"/>
      <c r="B92" s="99"/>
      <c r="C92" s="100"/>
      <c r="D92" s="100"/>
      <c r="E92" s="101"/>
      <c r="F92" s="102"/>
      <c r="G92" s="99"/>
      <c r="H92" s="99"/>
      <c r="I92" s="99"/>
      <c r="J92" s="99"/>
      <c r="K92" s="99"/>
      <c r="L92" s="99"/>
      <c r="M92" s="99"/>
      <c r="N92" s="99"/>
      <c r="O92" s="99"/>
      <c r="P92" s="99"/>
      <c r="Q92" s="99"/>
      <c r="R92" s="99"/>
      <c r="S92" s="99"/>
      <c r="T92" s="99"/>
      <c r="U92" s="99"/>
      <c r="V92" s="99"/>
      <c r="W92" s="99"/>
      <c r="X92" s="99"/>
      <c r="Y92" s="99"/>
      <c r="Z92" s="99"/>
      <c r="AA92" s="99"/>
      <c r="AB92" s="99"/>
      <c r="AC92" s="99"/>
      <c r="AD92" s="99"/>
      <c r="AE92" s="99"/>
      <c r="AF92" s="99"/>
      <c r="AG92" s="99"/>
      <c r="AH92" s="99"/>
      <c r="AI92" s="99"/>
      <c r="AJ92" s="99"/>
      <c r="AK92" s="99"/>
      <c r="AL92" s="99"/>
      <c r="AM92" s="99"/>
      <c r="AN92" s="99"/>
      <c r="AO92" s="99"/>
      <c r="AP92" s="99"/>
      <c r="AQ92" s="99"/>
      <c r="AR92" s="99"/>
      <c r="AS92" s="99"/>
      <c r="AT92" s="99"/>
      <c r="AU92" s="99"/>
    </row>
    <row r="93" spans="1:47" s="74" customFormat="1" x14ac:dyDescent="0.3">
      <c r="A93" s="99"/>
      <c r="B93" s="99"/>
      <c r="C93" s="100"/>
      <c r="D93" s="100"/>
      <c r="E93" s="101"/>
      <c r="F93" s="102"/>
      <c r="G93" s="99"/>
      <c r="H93" s="99"/>
      <c r="I93" s="99"/>
      <c r="J93" s="99"/>
      <c r="K93" s="99"/>
      <c r="L93" s="99"/>
      <c r="M93" s="99"/>
      <c r="N93" s="99"/>
      <c r="O93" s="99"/>
      <c r="P93" s="99"/>
      <c r="Q93" s="99"/>
      <c r="R93" s="99"/>
      <c r="S93" s="99"/>
      <c r="T93" s="99"/>
      <c r="U93" s="99"/>
      <c r="V93" s="99"/>
      <c r="W93" s="99"/>
      <c r="X93" s="99"/>
      <c r="Y93" s="99"/>
      <c r="Z93" s="99"/>
      <c r="AA93" s="99"/>
      <c r="AB93" s="99"/>
      <c r="AC93" s="99"/>
      <c r="AD93" s="99"/>
      <c r="AE93" s="99"/>
      <c r="AF93" s="99"/>
      <c r="AG93" s="99"/>
      <c r="AH93" s="99"/>
      <c r="AI93" s="99"/>
      <c r="AJ93" s="99"/>
      <c r="AK93" s="99"/>
      <c r="AL93" s="99"/>
      <c r="AM93" s="99"/>
      <c r="AN93" s="99"/>
      <c r="AO93" s="99"/>
      <c r="AP93" s="99"/>
      <c r="AQ93" s="99"/>
      <c r="AR93" s="99"/>
      <c r="AS93" s="99"/>
      <c r="AT93" s="99"/>
      <c r="AU93" s="99"/>
    </row>
    <row r="94" spans="1:47" s="74" customFormat="1" x14ac:dyDescent="0.3">
      <c r="A94" s="99"/>
      <c r="B94" s="99"/>
      <c r="C94" s="100"/>
      <c r="D94" s="100"/>
      <c r="E94" s="101"/>
      <c r="F94" s="102"/>
      <c r="G94" s="99"/>
      <c r="H94" s="99"/>
      <c r="I94" s="99"/>
      <c r="J94" s="99"/>
      <c r="K94" s="99"/>
      <c r="L94" s="99"/>
      <c r="M94" s="99"/>
      <c r="N94" s="99"/>
      <c r="O94" s="99"/>
      <c r="P94" s="99"/>
      <c r="Q94" s="99"/>
      <c r="R94" s="99"/>
      <c r="S94" s="99"/>
      <c r="T94" s="99"/>
      <c r="U94" s="99"/>
      <c r="V94" s="99"/>
      <c r="W94" s="99"/>
      <c r="X94" s="99"/>
      <c r="Y94" s="99"/>
      <c r="Z94" s="99"/>
      <c r="AA94" s="99"/>
      <c r="AB94" s="99"/>
      <c r="AC94" s="99"/>
      <c r="AD94" s="99"/>
      <c r="AE94" s="99"/>
      <c r="AF94" s="99"/>
      <c r="AG94" s="99"/>
      <c r="AH94" s="99"/>
      <c r="AI94" s="99"/>
      <c r="AJ94" s="99"/>
      <c r="AK94" s="99"/>
      <c r="AL94" s="99"/>
      <c r="AM94" s="99"/>
      <c r="AN94" s="99"/>
      <c r="AO94" s="99"/>
      <c r="AP94" s="99"/>
      <c r="AQ94" s="99"/>
      <c r="AR94" s="99"/>
      <c r="AS94" s="99"/>
      <c r="AT94" s="99"/>
      <c r="AU94" s="99"/>
    </row>
    <row r="95" spans="1:47" s="74" customFormat="1" x14ac:dyDescent="0.3">
      <c r="A95" s="99"/>
      <c r="B95" s="99"/>
      <c r="C95" s="100"/>
      <c r="D95" s="100"/>
      <c r="E95" s="101"/>
      <c r="F95" s="102"/>
      <c r="G95" s="99"/>
      <c r="H95" s="99"/>
      <c r="I95" s="99"/>
      <c r="J95" s="99"/>
      <c r="K95" s="99"/>
      <c r="L95" s="99"/>
      <c r="M95" s="99"/>
      <c r="N95" s="99"/>
      <c r="O95" s="99"/>
      <c r="P95" s="99"/>
      <c r="Q95" s="99"/>
      <c r="R95" s="99"/>
      <c r="S95" s="99"/>
      <c r="T95" s="99"/>
      <c r="U95" s="99"/>
      <c r="V95" s="99"/>
      <c r="W95" s="99"/>
      <c r="X95" s="99"/>
      <c r="Y95" s="99"/>
      <c r="Z95" s="99"/>
      <c r="AA95" s="99"/>
      <c r="AB95" s="99"/>
      <c r="AC95" s="99"/>
      <c r="AD95" s="99"/>
      <c r="AE95" s="99"/>
      <c r="AF95" s="99"/>
      <c r="AG95" s="99"/>
      <c r="AH95" s="99"/>
      <c r="AI95" s="99"/>
      <c r="AJ95" s="99"/>
      <c r="AK95" s="99"/>
      <c r="AL95" s="99"/>
      <c r="AM95" s="99"/>
      <c r="AN95" s="99"/>
      <c r="AO95" s="99"/>
      <c r="AP95" s="99"/>
      <c r="AQ95" s="99"/>
      <c r="AR95" s="99"/>
      <c r="AS95" s="99"/>
      <c r="AT95" s="99"/>
      <c r="AU95" s="99"/>
    </row>
    <row r="96" spans="1:47" s="74" customFormat="1" x14ac:dyDescent="0.3">
      <c r="A96" s="99"/>
      <c r="B96" s="99"/>
      <c r="C96" s="100"/>
      <c r="D96" s="100"/>
      <c r="E96" s="101"/>
      <c r="F96" s="102"/>
      <c r="G96" s="99"/>
      <c r="H96" s="99"/>
      <c r="I96" s="99"/>
      <c r="J96" s="99"/>
      <c r="K96" s="99"/>
      <c r="L96" s="99"/>
      <c r="M96" s="99"/>
      <c r="N96" s="99"/>
      <c r="O96" s="99"/>
      <c r="P96" s="99"/>
      <c r="Q96" s="99"/>
      <c r="R96" s="99"/>
      <c r="S96" s="99"/>
      <c r="T96" s="99"/>
      <c r="U96" s="99"/>
      <c r="V96" s="99"/>
      <c r="W96" s="99"/>
      <c r="X96" s="99"/>
      <c r="Y96" s="99"/>
      <c r="Z96" s="99"/>
      <c r="AA96" s="99"/>
      <c r="AB96" s="99"/>
      <c r="AC96" s="99"/>
      <c r="AD96" s="99"/>
      <c r="AE96" s="99"/>
      <c r="AF96" s="99"/>
      <c r="AG96" s="99"/>
      <c r="AH96" s="99"/>
      <c r="AI96" s="99"/>
      <c r="AJ96" s="99"/>
      <c r="AK96" s="99"/>
      <c r="AL96" s="99"/>
      <c r="AM96" s="99"/>
      <c r="AN96" s="99"/>
      <c r="AO96" s="99"/>
      <c r="AP96" s="99"/>
      <c r="AQ96" s="99"/>
      <c r="AR96" s="99"/>
      <c r="AS96" s="99"/>
      <c r="AT96" s="99"/>
      <c r="AU96" s="99"/>
    </row>
    <row r="97" spans="1:47" s="74" customFormat="1" x14ac:dyDescent="0.3">
      <c r="A97" s="99"/>
      <c r="B97" s="99"/>
      <c r="C97" s="100"/>
      <c r="D97" s="100"/>
      <c r="E97" s="101"/>
      <c r="F97" s="102"/>
      <c r="G97" s="99"/>
      <c r="H97" s="99"/>
      <c r="I97" s="99"/>
      <c r="J97" s="99"/>
      <c r="K97" s="99"/>
      <c r="L97" s="99"/>
      <c r="M97" s="99"/>
      <c r="N97" s="99"/>
      <c r="O97" s="99"/>
      <c r="P97" s="99"/>
      <c r="Q97" s="99"/>
      <c r="R97" s="99"/>
      <c r="S97" s="99"/>
      <c r="T97" s="99"/>
      <c r="U97" s="99"/>
      <c r="V97" s="99"/>
      <c r="W97" s="99"/>
      <c r="X97" s="99"/>
      <c r="Y97" s="99"/>
      <c r="Z97" s="99"/>
      <c r="AA97" s="99"/>
      <c r="AB97" s="99"/>
      <c r="AC97" s="99"/>
      <c r="AD97" s="99"/>
      <c r="AE97" s="99"/>
      <c r="AF97" s="99"/>
      <c r="AG97" s="99"/>
      <c r="AH97" s="99"/>
      <c r="AI97" s="99"/>
      <c r="AJ97" s="99"/>
      <c r="AK97" s="99"/>
      <c r="AL97" s="99"/>
      <c r="AM97" s="99"/>
      <c r="AN97" s="99"/>
      <c r="AO97" s="99"/>
      <c r="AP97" s="99"/>
      <c r="AQ97" s="99"/>
      <c r="AR97" s="99"/>
      <c r="AS97" s="99"/>
      <c r="AT97" s="99"/>
      <c r="AU97" s="99"/>
    </row>
    <row r="98" spans="1:47" s="74" customFormat="1" x14ac:dyDescent="0.3">
      <c r="A98" s="99"/>
      <c r="B98" s="99"/>
      <c r="C98" s="100"/>
      <c r="D98" s="100"/>
      <c r="E98" s="101"/>
      <c r="F98" s="102"/>
      <c r="G98" s="99"/>
      <c r="H98" s="99"/>
      <c r="I98" s="99"/>
      <c r="J98" s="99"/>
      <c r="K98" s="99"/>
      <c r="L98" s="99"/>
      <c r="M98" s="99"/>
      <c r="N98" s="99"/>
      <c r="O98" s="99"/>
      <c r="P98" s="99"/>
      <c r="Q98" s="99"/>
      <c r="R98" s="99"/>
      <c r="S98" s="99"/>
      <c r="T98" s="99"/>
      <c r="U98" s="99"/>
      <c r="V98" s="99"/>
      <c r="W98" s="99"/>
      <c r="X98" s="99"/>
      <c r="Y98" s="99"/>
      <c r="Z98" s="99"/>
      <c r="AA98" s="99"/>
      <c r="AB98" s="99"/>
      <c r="AC98" s="99"/>
      <c r="AD98" s="99"/>
      <c r="AE98" s="99"/>
      <c r="AF98" s="99"/>
      <c r="AG98" s="99"/>
      <c r="AH98" s="99"/>
      <c r="AI98" s="99"/>
      <c r="AJ98" s="99"/>
      <c r="AK98" s="99"/>
      <c r="AL98" s="99"/>
      <c r="AM98" s="99"/>
      <c r="AN98" s="99"/>
      <c r="AO98" s="99"/>
      <c r="AP98" s="99"/>
      <c r="AQ98" s="99"/>
      <c r="AR98" s="99"/>
      <c r="AS98" s="99"/>
      <c r="AT98" s="99"/>
      <c r="AU98" s="99"/>
    </row>
    <row r="99" spans="1:47" s="74" customFormat="1" x14ac:dyDescent="0.3">
      <c r="A99" s="99"/>
      <c r="B99" s="99"/>
      <c r="C99" s="100"/>
      <c r="D99" s="100"/>
      <c r="E99" s="101"/>
      <c r="F99" s="102"/>
      <c r="G99" s="99"/>
      <c r="H99" s="99"/>
      <c r="I99" s="99"/>
      <c r="J99" s="99"/>
      <c r="K99" s="99"/>
      <c r="L99" s="99"/>
      <c r="M99" s="99"/>
      <c r="N99" s="99"/>
      <c r="O99" s="99"/>
      <c r="P99" s="99"/>
      <c r="Q99" s="99"/>
      <c r="R99" s="99"/>
      <c r="S99" s="99"/>
      <c r="T99" s="99"/>
      <c r="U99" s="99"/>
      <c r="V99" s="99"/>
      <c r="W99" s="99"/>
      <c r="X99" s="99"/>
      <c r="Y99" s="99"/>
      <c r="Z99" s="99"/>
      <c r="AA99" s="99"/>
      <c r="AB99" s="99"/>
      <c r="AC99" s="99"/>
      <c r="AD99" s="99"/>
      <c r="AE99" s="99"/>
      <c r="AF99" s="99"/>
      <c r="AG99" s="99"/>
      <c r="AH99" s="99"/>
      <c r="AI99" s="99"/>
      <c r="AJ99" s="99"/>
      <c r="AK99" s="99"/>
      <c r="AL99" s="99"/>
      <c r="AM99" s="99"/>
      <c r="AN99" s="99"/>
      <c r="AO99" s="99"/>
      <c r="AP99" s="99"/>
      <c r="AQ99" s="99"/>
      <c r="AR99" s="99"/>
      <c r="AS99" s="99"/>
      <c r="AT99" s="99"/>
      <c r="AU99" s="99"/>
    </row>
    <row r="100" spans="1:47" s="74" customFormat="1" x14ac:dyDescent="0.3">
      <c r="A100" s="99"/>
      <c r="B100" s="99"/>
      <c r="C100" s="100"/>
      <c r="D100" s="100"/>
      <c r="E100" s="101"/>
      <c r="F100" s="102"/>
      <c r="G100" s="99"/>
      <c r="H100" s="99"/>
      <c r="I100" s="99"/>
      <c r="J100" s="99"/>
      <c r="K100" s="99"/>
      <c r="L100" s="99"/>
      <c r="M100" s="99"/>
      <c r="N100" s="99"/>
      <c r="O100" s="99"/>
      <c r="P100" s="99"/>
      <c r="Q100" s="99"/>
      <c r="R100" s="99"/>
      <c r="S100" s="99"/>
      <c r="T100" s="99"/>
      <c r="U100" s="99"/>
      <c r="V100" s="99"/>
      <c r="W100" s="99"/>
      <c r="X100" s="99"/>
      <c r="Y100" s="99"/>
      <c r="Z100" s="99"/>
      <c r="AA100" s="99"/>
      <c r="AB100" s="99"/>
      <c r="AC100" s="99"/>
      <c r="AD100" s="99"/>
      <c r="AE100" s="99"/>
      <c r="AF100" s="99"/>
      <c r="AG100" s="99"/>
      <c r="AH100" s="99"/>
      <c r="AI100" s="99"/>
      <c r="AJ100" s="99"/>
      <c r="AK100" s="99"/>
      <c r="AL100" s="99"/>
      <c r="AM100" s="99"/>
      <c r="AN100" s="99"/>
      <c r="AO100" s="99"/>
      <c r="AP100" s="99"/>
      <c r="AQ100" s="99"/>
      <c r="AR100" s="99"/>
      <c r="AS100" s="99"/>
      <c r="AT100" s="99"/>
      <c r="AU100" s="99"/>
    </row>
    <row r="101" spans="1:47" s="74" customFormat="1" x14ac:dyDescent="0.3">
      <c r="A101" s="99"/>
      <c r="B101" s="99"/>
      <c r="C101" s="100"/>
      <c r="D101" s="100"/>
      <c r="E101" s="101"/>
      <c r="F101" s="102"/>
      <c r="G101" s="99"/>
      <c r="H101" s="99"/>
      <c r="I101" s="99"/>
      <c r="J101" s="99"/>
      <c r="K101" s="99"/>
      <c r="L101" s="99"/>
      <c r="M101" s="99"/>
      <c r="N101" s="99"/>
      <c r="O101" s="99"/>
      <c r="P101" s="99"/>
      <c r="Q101" s="99"/>
      <c r="R101" s="99"/>
      <c r="S101" s="99"/>
      <c r="T101" s="99"/>
      <c r="U101" s="99"/>
      <c r="V101" s="99"/>
      <c r="W101" s="99"/>
      <c r="X101" s="99"/>
      <c r="Y101" s="99"/>
      <c r="Z101" s="99"/>
      <c r="AA101" s="99"/>
      <c r="AB101" s="99"/>
      <c r="AC101" s="99"/>
      <c r="AD101" s="99"/>
      <c r="AE101" s="99"/>
      <c r="AF101" s="99"/>
      <c r="AG101" s="99"/>
      <c r="AH101" s="99"/>
      <c r="AI101" s="99"/>
      <c r="AJ101" s="99"/>
      <c r="AK101" s="99"/>
      <c r="AL101" s="99"/>
      <c r="AM101" s="99"/>
      <c r="AN101" s="99"/>
      <c r="AO101" s="99"/>
      <c r="AP101" s="99"/>
      <c r="AQ101" s="99"/>
      <c r="AR101" s="99"/>
      <c r="AS101" s="99"/>
      <c r="AT101" s="99"/>
      <c r="AU101" s="99"/>
    </row>
    <row r="102" spans="1:47" s="74" customFormat="1" x14ac:dyDescent="0.3">
      <c r="A102" s="99"/>
      <c r="B102" s="99"/>
      <c r="C102" s="100"/>
      <c r="D102" s="100"/>
      <c r="E102" s="101"/>
      <c r="F102" s="102"/>
      <c r="G102" s="99"/>
      <c r="H102" s="99"/>
      <c r="I102" s="99"/>
      <c r="J102" s="99"/>
      <c r="K102" s="99"/>
      <c r="L102" s="99"/>
      <c r="M102" s="99"/>
      <c r="N102" s="99"/>
      <c r="O102" s="99"/>
      <c r="P102" s="99"/>
      <c r="Q102" s="99"/>
      <c r="R102" s="99"/>
      <c r="S102" s="99"/>
      <c r="T102" s="99"/>
      <c r="U102" s="99"/>
      <c r="V102" s="99"/>
      <c r="W102" s="99"/>
      <c r="X102" s="99"/>
      <c r="Y102" s="99"/>
      <c r="Z102" s="99"/>
      <c r="AA102" s="99"/>
      <c r="AB102" s="99"/>
      <c r="AC102" s="99"/>
      <c r="AD102" s="99"/>
      <c r="AE102" s="99"/>
      <c r="AF102" s="99"/>
      <c r="AG102" s="99"/>
      <c r="AH102" s="99"/>
      <c r="AI102" s="99"/>
      <c r="AJ102" s="99"/>
      <c r="AK102" s="99"/>
      <c r="AL102" s="99"/>
      <c r="AM102" s="99"/>
      <c r="AN102" s="99"/>
      <c r="AO102" s="99"/>
      <c r="AP102" s="99"/>
      <c r="AQ102" s="99"/>
      <c r="AR102" s="99"/>
      <c r="AS102" s="99"/>
      <c r="AT102" s="99"/>
      <c r="AU102" s="99"/>
    </row>
    <row r="103" spans="1:47" s="74" customFormat="1" x14ac:dyDescent="0.3">
      <c r="A103" s="99"/>
      <c r="B103" s="99"/>
      <c r="C103" s="100"/>
      <c r="D103" s="100"/>
      <c r="E103" s="101"/>
      <c r="F103" s="102"/>
      <c r="G103" s="99"/>
      <c r="H103" s="99"/>
      <c r="I103" s="99"/>
      <c r="J103" s="99"/>
      <c r="K103" s="99"/>
      <c r="L103" s="99"/>
      <c r="M103" s="99"/>
      <c r="N103" s="99"/>
      <c r="O103" s="99"/>
      <c r="P103" s="99"/>
      <c r="Q103" s="99"/>
      <c r="R103" s="99"/>
      <c r="S103" s="99"/>
      <c r="T103" s="99"/>
      <c r="U103" s="99"/>
      <c r="V103" s="99"/>
      <c r="W103" s="99"/>
      <c r="X103" s="99"/>
      <c r="Y103" s="99"/>
      <c r="Z103" s="99"/>
      <c r="AA103" s="99"/>
      <c r="AB103" s="99"/>
      <c r="AC103" s="99"/>
      <c r="AD103" s="99"/>
      <c r="AE103" s="99"/>
      <c r="AF103" s="99"/>
      <c r="AG103" s="99"/>
      <c r="AH103" s="99"/>
      <c r="AI103" s="99"/>
      <c r="AJ103" s="99"/>
      <c r="AK103" s="99"/>
      <c r="AL103" s="99"/>
      <c r="AM103" s="99"/>
      <c r="AN103" s="99"/>
      <c r="AO103" s="99"/>
      <c r="AP103" s="99"/>
      <c r="AQ103" s="99"/>
      <c r="AR103" s="99"/>
      <c r="AS103" s="99"/>
      <c r="AT103" s="99"/>
      <c r="AU103" s="99"/>
    </row>
    <row r="104" spans="1:47" s="74" customFormat="1" x14ac:dyDescent="0.3">
      <c r="A104" s="99"/>
      <c r="B104" s="99"/>
      <c r="C104" s="100"/>
      <c r="D104" s="100"/>
      <c r="E104" s="101"/>
      <c r="F104" s="102"/>
      <c r="G104" s="99"/>
      <c r="H104" s="99"/>
      <c r="I104" s="99"/>
      <c r="J104" s="99"/>
      <c r="K104" s="99"/>
      <c r="L104" s="99"/>
      <c r="M104" s="99"/>
      <c r="N104" s="99"/>
      <c r="O104" s="99"/>
      <c r="P104" s="99"/>
      <c r="Q104" s="99"/>
      <c r="R104" s="99"/>
      <c r="S104" s="99"/>
      <c r="T104" s="99"/>
      <c r="U104" s="99"/>
      <c r="V104" s="99"/>
      <c r="W104" s="99"/>
      <c r="X104" s="99"/>
      <c r="Y104" s="99"/>
      <c r="Z104" s="99"/>
      <c r="AA104" s="99"/>
      <c r="AB104" s="99"/>
      <c r="AC104" s="99"/>
      <c r="AD104" s="99"/>
      <c r="AE104" s="99"/>
      <c r="AF104" s="99"/>
      <c r="AG104" s="99"/>
      <c r="AH104" s="99"/>
      <c r="AI104" s="99"/>
      <c r="AJ104" s="99"/>
      <c r="AK104" s="99"/>
      <c r="AL104" s="99"/>
      <c r="AM104" s="99"/>
      <c r="AN104" s="99"/>
      <c r="AO104" s="99"/>
      <c r="AP104" s="99"/>
      <c r="AQ104" s="99"/>
      <c r="AR104" s="99"/>
      <c r="AS104" s="99"/>
      <c r="AT104" s="99"/>
      <c r="AU104" s="99"/>
    </row>
    <row r="105" spans="1:47" s="74" customFormat="1" x14ac:dyDescent="0.3">
      <c r="A105" s="99"/>
      <c r="B105" s="99"/>
      <c r="C105" s="100"/>
      <c r="D105" s="100"/>
      <c r="E105" s="101"/>
      <c r="F105" s="102"/>
      <c r="G105" s="99"/>
      <c r="H105" s="99"/>
      <c r="I105" s="99"/>
      <c r="J105" s="99"/>
      <c r="K105" s="99"/>
      <c r="L105" s="99"/>
      <c r="M105" s="99"/>
      <c r="N105" s="99"/>
      <c r="O105" s="99"/>
      <c r="P105" s="99"/>
      <c r="Q105" s="99"/>
      <c r="R105" s="99"/>
      <c r="S105" s="99"/>
      <c r="T105" s="99"/>
      <c r="U105" s="99"/>
      <c r="V105" s="99"/>
      <c r="W105" s="99"/>
      <c r="X105" s="99"/>
      <c r="Y105" s="99"/>
      <c r="Z105" s="99"/>
      <c r="AA105" s="99"/>
      <c r="AB105" s="99"/>
      <c r="AC105" s="99"/>
      <c r="AD105" s="99"/>
      <c r="AE105" s="99"/>
      <c r="AF105" s="99"/>
      <c r="AG105" s="99"/>
      <c r="AH105" s="99"/>
      <c r="AI105" s="99"/>
      <c r="AJ105" s="99"/>
      <c r="AK105" s="99"/>
      <c r="AL105" s="99"/>
      <c r="AM105" s="99"/>
      <c r="AN105" s="99"/>
      <c r="AO105" s="99"/>
      <c r="AP105" s="99"/>
      <c r="AQ105" s="99"/>
      <c r="AR105" s="99"/>
      <c r="AS105" s="99"/>
      <c r="AT105" s="99"/>
      <c r="AU105" s="99"/>
    </row>
    <row r="106" spans="1:47" s="74" customFormat="1" x14ac:dyDescent="0.3">
      <c r="A106" s="99"/>
      <c r="B106" s="99"/>
      <c r="C106" s="100"/>
      <c r="D106" s="100"/>
      <c r="E106" s="101"/>
      <c r="F106" s="102"/>
      <c r="G106" s="99"/>
      <c r="H106" s="99"/>
      <c r="I106" s="99"/>
      <c r="J106" s="99"/>
      <c r="K106" s="99"/>
      <c r="L106" s="99"/>
      <c r="M106" s="99"/>
      <c r="N106" s="99"/>
      <c r="O106" s="99"/>
      <c r="P106" s="99"/>
      <c r="Q106" s="99"/>
      <c r="R106" s="99"/>
      <c r="S106" s="99"/>
      <c r="T106" s="99"/>
      <c r="U106" s="99"/>
      <c r="V106" s="99"/>
      <c r="W106" s="99"/>
      <c r="X106" s="99"/>
      <c r="Y106" s="99"/>
      <c r="Z106" s="99"/>
      <c r="AA106" s="99"/>
      <c r="AB106" s="99"/>
      <c r="AC106" s="99"/>
      <c r="AD106" s="99"/>
      <c r="AE106" s="99"/>
      <c r="AF106" s="99"/>
      <c r="AG106" s="99"/>
      <c r="AH106" s="99"/>
      <c r="AI106" s="99"/>
      <c r="AJ106" s="99"/>
      <c r="AK106" s="99"/>
      <c r="AL106" s="99"/>
      <c r="AM106" s="99"/>
      <c r="AN106" s="99"/>
      <c r="AO106" s="99"/>
      <c r="AP106" s="99"/>
      <c r="AQ106" s="99"/>
      <c r="AR106" s="99"/>
      <c r="AS106" s="99"/>
      <c r="AT106" s="99"/>
      <c r="AU106" s="99"/>
    </row>
    <row r="107" spans="1:47" s="74" customFormat="1" x14ac:dyDescent="0.3">
      <c r="A107" s="99"/>
      <c r="B107" s="99"/>
      <c r="C107" s="100"/>
      <c r="D107" s="100"/>
      <c r="E107" s="101"/>
      <c r="F107" s="102"/>
      <c r="G107" s="99"/>
      <c r="H107" s="99"/>
      <c r="I107" s="99"/>
      <c r="J107" s="99"/>
      <c r="K107" s="99"/>
      <c r="L107" s="99"/>
      <c r="M107" s="99"/>
      <c r="N107" s="99"/>
      <c r="O107" s="99"/>
      <c r="P107" s="99"/>
      <c r="Q107" s="99"/>
      <c r="R107" s="99"/>
      <c r="S107" s="99"/>
      <c r="T107" s="99"/>
      <c r="U107" s="99"/>
      <c r="V107" s="99"/>
      <c r="W107" s="99"/>
      <c r="X107" s="99"/>
      <c r="Y107" s="99"/>
      <c r="Z107" s="99"/>
      <c r="AA107" s="99"/>
      <c r="AB107" s="99"/>
      <c r="AC107" s="99"/>
      <c r="AD107" s="99"/>
      <c r="AE107" s="99"/>
      <c r="AF107" s="99"/>
      <c r="AG107" s="99"/>
      <c r="AH107" s="99"/>
      <c r="AI107" s="99"/>
      <c r="AJ107" s="99"/>
      <c r="AK107" s="99"/>
      <c r="AL107" s="99"/>
      <c r="AM107" s="99"/>
      <c r="AN107" s="99"/>
      <c r="AO107" s="99"/>
      <c r="AP107" s="99"/>
      <c r="AQ107" s="99"/>
      <c r="AR107" s="99"/>
      <c r="AS107" s="99"/>
      <c r="AT107" s="99"/>
      <c r="AU107" s="99"/>
    </row>
    <row r="108" spans="1:47" s="74" customFormat="1" x14ac:dyDescent="0.3">
      <c r="A108" s="99"/>
      <c r="B108" s="99"/>
      <c r="C108" s="100"/>
      <c r="D108" s="100"/>
      <c r="E108" s="101"/>
      <c r="F108" s="102"/>
      <c r="G108" s="99"/>
      <c r="H108" s="99"/>
      <c r="I108" s="99"/>
      <c r="J108" s="99"/>
      <c r="K108" s="99"/>
      <c r="L108" s="99"/>
      <c r="M108" s="99"/>
      <c r="N108" s="99"/>
      <c r="O108" s="99"/>
      <c r="P108" s="99"/>
      <c r="Q108" s="99"/>
      <c r="R108" s="99"/>
      <c r="S108" s="99"/>
      <c r="T108" s="99"/>
      <c r="U108" s="99"/>
      <c r="V108" s="99"/>
      <c r="W108" s="99"/>
      <c r="X108" s="99"/>
      <c r="Y108" s="99"/>
      <c r="Z108" s="99"/>
      <c r="AA108" s="99"/>
      <c r="AB108" s="99"/>
      <c r="AC108" s="99"/>
      <c r="AD108" s="99"/>
      <c r="AE108" s="99"/>
      <c r="AF108" s="99"/>
      <c r="AG108" s="99"/>
      <c r="AH108" s="99"/>
      <c r="AI108" s="99"/>
      <c r="AJ108" s="99"/>
      <c r="AK108" s="99"/>
      <c r="AL108" s="99"/>
      <c r="AM108" s="99"/>
      <c r="AN108" s="99"/>
      <c r="AO108" s="99"/>
      <c r="AP108" s="99"/>
      <c r="AQ108" s="99"/>
      <c r="AR108" s="99"/>
      <c r="AS108" s="99"/>
      <c r="AT108" s="99"/>
      <c r="AU108" s="99"/>
    </row>
    <row r="109" spans="1:47" s="74" customFormat="1" x14ac:dyDescent="0.3">
      <c r="A109" s="99"/>
      <c r="B109" s="99"/>
      <c r="C109" s="100"/>
      <c r="D109" s="100"/>
      <c r="E109" s="101"/>
      <c r="F109" s="102"/>
      <c r="G109" s="99"/>
      <c r="H109" s="99"/>
      <c r="I109" s="99"/>
      <c r="J109" s="99"/>
      <c r="K109" s="99"/>
      <c r="L109" s="99"/>
      <c r="M109" s="99"/>
      <c r="N109" s="99"/>
      <c r="O109" s="99"/>
      <c r="P109" s="99"/>
      <c r="Q109" s="99"/>
      <c r="R109" s="99"/>
      <c r="S109" s="99"/>
      <c r="T109" s="99"/>
      <c r="U109" s="99"/>
      <c r="V109" s="99"/>
      <c r="W109" s="99"/>
      <c r="X109" s="99"/>
      <c r="Y109" s="99"/>
      <c r="Z109" s="99"/>
      <c r="AA109" s="99"/>
      <c r="AB109" s="99"/>
      <c r="AC109" s="99"/>
      <c r="AD109" s="99"/>
      <c r="AE109" s="99"/>
      <c r="AF109" s="99"/>
      <c r="AG109" s="99"/>
      <c r="AH109" s="99"/>
      <c r="AI109" s="99"/>
      <c r="AJ109" s="99"/>
      <c r="AK109" s="99"/>
      <c r="AL109" s="99"/>
      <c r="AM109" s="99"/>
      <c r="AN109" s="99"/>
      <c r="AO109" s="99"/>
      <c r="AP109" s="99"/>
      <c r="AQ109" s="99"/>
      <c r="AR109" s="99"/>
      <c r="AS109" s="99"/>
      <c r="AT109" s="99"/>
      <c r="AU109" s="99"/>
    </row>
    <row r="110" spans="1:47" s="74" customFormat="1" x14ac:dyDescent="0.3">
      <c r="A110" s="99"/>
      <c r="B110" s="99"/>
      <c r="C110" s="100"/>
      <c r="D110" s="100"/>
      <c r="E110" s="101"/>
      <c r="F110" s="102"/>
      <c r="G110" s="99"/>
      <c r="H110" s="99"/>
      <c r="I110" s="99"/>
      <c r="J110" s="99"/>
      <c r="K110" s="99"/>
      <c r="L110" s="99"/>
      <c r="M110" s="99"/>
      <c r="N110" s="99"/>
      <c r="O110" s="99"/>
      <c r="P110" s="99"/>
      <c r="Q110" s="99"/>
      <c r="R110" s="99"/>
      <c r="S110" s="99"/>
      <c r="T110" s="99"/>
      <c r="U110" s="99"/>
      <c r="V110" s="99"/>
      <c r="W110" s="99"/>
      <c r="X110" s="99"/>
      <c r="Y110" s="99"/>
      <c r="Z110" s="99"/>
      <c r="AA110" s="99"/>
      <c r="AB110" s="99"/>
      <c r="AC110" s="99"/>
      <c r="AD110" s="99"/>
      <c r="AE110" s="99"/>
      <c r="AF110" s="99"/>
      <c r="AG110" s="99"/>
      <c r="AH110" s="99"/>
      <c r="AI110" s="99"/>
      <c r="AJ110" s="99"/>
      <c r="AK110" s="99"/>
      <c r="AL110" s="99"/>
      <c r="AM110" s="99"/>
      <c r="AN110" s="99"/>
      <c r="AO110" s="99"/>
      <c r="AP110" s="99"/>
      <c r="AQ110" s="99"/>
      <c r="AR110" s="99"/>
      <c r="AS110" s="99"/>
      <c r="AT110" s="99"/>
      <c r="AU110" s="99"/>
    </row>
    <row r="111" spans="1:47" s="74" customFormat="1" x14ac:dyDescent="0.3">
      <c r="A111" s="99"/>
      <c r="B111" s="99"/>
      <c r="C111" s="100"/>
      <c r="D111" s="100"/>
      <c r="E111" s="101"/>
      <c r="F111" s="102"/>
      <c r="G111" s="99"/>
      <c r="H111" s="99"/>
      <c r="I111" s="99"/>
      <c r="J111" s="99"/>
      <c r="K111" s="99"/>
      <c r="L111" s="99"/>
      <c r="M111" s="99"/>
      <c r="N111" s="99"/>
      <c r="O111" s="99"/>
      <c r="P111" s="99"/>
      <c r="Q111" s="99"/>
      <c r="R111" s="99"/>
      <c r="S111" s="99"/>
      <c r="T111" s="99"/>
      <c r="U111" s="99"/>
      <c r="V111" s="99"/>
      <c r="W111" s="99"/>
      <c r="X111" s="99"/>
      <c r="Y111" s="99"/>
      <c r="Z111" s="99"/>
      <c r="AA111" s="99"/>
      <c r="AB111" s="99"/>
      <c r="AC111" s="99"/>
      <c r="AD111" s="99"/>
      <c r="AE111" s="99"/>
      <c r="AF111" s="99"/>
      <c r="AG111" s="99"/>
      <c r="AH111" s="99"/>
      <c r="AI111" s="99"/>
      <c r="AJ111" s="99"/>
      <c r="AK111" s="99"/>
      <c r="AL111" s="99"/>
      <c r="AM111" s="99"/>
      <c r="AN111" s="99"/>
      <c r="AO111" s="99"/>
      <c r="AP111" s="99"/>
      <c r="AQ111" s="99"/>
      <c r="AR111" s="99"/>
      <c r="AS111" s="99"/>
      <c r="AT111" s="99"/>
      <c r="AU111" s="99"/>
    </row>
    <row r="112" spans="1:47" s="74" customFormat="1" x14ac:dyDescent="0.3">
      <c r="A112" s="99"/>
      <c r="B112" s="99"/>
      <c r="C112" s="100"/>
      <c r="D112" s="100"/>
      <c r="E112" s="101"/>
      <c r="F112" s="102"/>
      <c r="G112" s="99"/>
      <c r="H112" s="99"/>
      <c r="I112" s="99"/>
      <c r="J112" s="99"/>
      <c r="K112" s="99"/>
      <c r="L112" s="99"/>
      <c r="M112" s="99"/>
      <c r="N112" s="99"/>
      <c r="O112" s="99"/>
      <c r="P112" s="99"/>
      <c r="Q112" s="99"/>
      <c r="R112" s="99"/>
      <c r="S112" s="99"/>
      <c r="T112" s="99"/>
      <c r="U112" s="99"/>
      <c r="V112" s="99"/>
      <c r="W112" s="99"/>
      <c r="X112" s="99"/>
      <c r="Y112" s="99"/>
      <c r="Z112" s="99"/>
      <c r="AA112" s="99"/>
      <c r="AB112" s="99"/>
      <c r="AC112" s="99"/>
      <c r="AD112" s="99"/>
      <c r="AE112" s="99"/>
      <c r="AF112" s="99"/>
      <c r="AG112" s="99"/>
      <c r="AH112" s="99"/>
      <c r="AI112" s="99"/>
      <c r="AJ112" s="99"/>
      <c r="AK112" s="99"/>
      <c r="AL112" s="99"/>
      <c r="AM112" s="99"/>
      <c r="AN112" s="99"/>
      <c r="AO112" s="99"/>
      <c r="AP112" s="99"/>
      <c r="AQ112" s="99"/>
      <c r="AR112" s="99"/>
      <c r="AS112" s="99"/>
      <c r="AT112" s="99"/>
      <c r="AU112" s="99"/>
    </row>
    <row r="113" spans="1:47" s="74" customFormat="1" x14ac:dyDescent="0.3">
      <c r="A113" s="99"/>
      <c r="B113" s="99"/>
      <c r="C113" s="100"/>
      <c r="D113" s="100"/>
      <c r="E113" s="101"/>
      <c r="F113" s="102"/>
      <c r="G113" s="99"/>
      <c r="H113" s="99"/>
      <c r="I113" s="99"/>
      <c r="J113" s="99"/>
      <c r="K113" s="99"/>
      <c r="L113" s="99"/>
      <c r="M113" s="99"/>
      <c r="N113" s="99"/>
      <c r="O113" s="99"/>
      <c r="P113" s="99"/>
      <c r="Q113" s="99"/>
      <c r="R113" s="99"/>
      <c r="S113" s="99"/>
      <c r="T113" s="99"/>
      <c r="U113" s="99"/>
      <c r="V113" s="99"/>
      <c r="W113" s="99"/>
      <c r="X113" s="99"/>
      <c r="Y113" s="99"/>
      <c r="Z113" s="99"/>
      <c r="AA113" s="99"/>
      <c r="AB113" s="99"/>
      <c r="AC113" s="99"/>
      <c r="AD113" s="99"/>
      <c r="AE113" s="99"/>
      <c r="AF113" s="99"/>
      <c r="AG113" s="99"/>
      <c r="AH113" s="99"/>
      <c r="AI113" s="99"/>
      <c r="AJ113" s="99"/>
      <c r="AK113" s="99"/>
      <c r="AL113" s="99"/>
      <c r="AM113" s="99"/>
      <c r="AN113" s="99"/>
      <c r="AO113" s="99"/>
      <c r="AP113" s="99"/>
      <c r="AQ113" s="99"/>
      <c r="AR113" s="99"/>
      <c r="AS113" s="99"/>
      <c r="AT113" s="99"/>
      <c r="AU113" s="99"/>
    </row>
    <row r="114" spans="1:47" s="74" customFormat="1" x14ac:dyDescent="0.3">
      <c r="A114" s="99"/>
      <c r="B114" s="99"/>
      <c r="C114" s="100"/>
      <c r="D114" s="100"/>
      <c r="E114" s="101"/>
      <c r="F114" s="102"/>
      <c r="G114" s="99"/>
      <c r="H114" s="99"/>
      <c r="I114" s="99"/>
      <c r="J114" s="99"/>
      <c r="K114" s="99"/>
      <c r="L114" s="99"/>
      <c r="M114" s="99"/>
      <c r="N114" s="99"/>
      <c r="O114" s="99"/>
      <c r="P114" s="99"/>
      <c r="Q114" s="99"/>
      <c r="R114" s="99"/>
      <c r="S114" s="99"/>
      <c r="T114" s="99"/>
      <c r="U114" s="99"/>
      <c r="V114" s="99"/>
      <c r="W114" s="99"/>
      <c r="X114" s="99"/>
      <c r="Y114" s="99"/>
      <c r="Z114" s="99"/>
      <c r="AA114" s="99"/>
      <c r="AB114" s="99"/>
      <c r="AC114" s="99"/>
      <c r="AD114" s="99"/>
      <c r="AE114" s="99"/>
      <c r="AF114" s="99"/>
      <c r="AG114" s="99"/>
      <c r="AH114" s="99"/>
      <c r="AI114" s="99"/>
      <c r="AJ114" s="99"/>
      <c r="AK114" s="99"/>
      <c r="AL114" s="99"/>
      <c r="AM114" s="99"/>
      <c r="AN114" s="99"/>
      <c r="AO114" s="99"/>
      <c r="AP114" s="99"/>
      <c r="AQ114" s="99"/>
      <c r="AR114" s="99"/>
      <c r="AS114" s="99"/>
      <c r="AT114" s="99"/>
      <c r="AU114" s="99"/>
    </row>
    <row r="115" spans="1:47" s="74" customFormat="1" x14ac:dyDescent="0.3">
      <c r="A115" s="99"/>
      <c r="B115" s="99"/>
      <c r="C115" s="100"/>
      <c r="D115" s="100"/>
      <c r="E115" s="101"/>
      <c r="F115" s="102"/>
      <c r="G115" s="99"/>
      <c r="H115" s="99"/>
      <c r="I115" s="99"/>
      <c r="J115" s="99"/>
      <c r="K115" s="99"/>
      <c r="L115" s="99"/>
      <c r="M115" s="99"/>
      <c r="N115" s="99"/>
      <c r="O115" s="99"/>
      <c r="P115" s="99"/>
      <c r="Q115" s="99"/>
      <c r="R115" s="99"/>
      <c r="S115" s="99"/>
      <c r="T115" s="99"/>
      <c r="U115" s="99"/>
      <c r="V115" s="99"/>
      <c r="W115" s="99"/>
      <c r="X115" s="99"/>
      <c r="Y115" s="99"/>
      <c r="Z115" s="99"/>
      <c r="AA115" s="99"/>
      <c r="AB115" s="99"/>
      <c r="AC115" s="99"/>
      <c r="AD115" s="99"/>
      <c r="AE115" s="99"/>
      <c r="AF115" s="99"/>
      <c r="AG115" s="99"/>
      <c r="AH115" s="99"/>
      <c r="AI115" s="99"/>
      <c r="AJ115" s="99"/>
      <c r="AK115" s="99"/>
      <c r="AL115" s="99"/>
      <c r="AM115" s="99"/>
      <c r="AN115" s="99"/>
      <c r="AO115" s="99"/>
      <c r="AP115" s="99"/>
      <c r="AQ115" s="99"/>
      <c r="AR115" s="99"/>
      <c r="AS115" s="99"/>
      <c r="AT115" s="99"/>
      <c r="AU115" s="99"/>
    </row>
    <row r="116" spans="1:47" s="74" customFormat="1" x14ac:dyDescent="0.3">
      <c r="A116" s="99"/>
      <c r="B116" s="99"/>
      <c r="C116" s="100"/>
      <c r="D116" s="100"/>
      <c r="E116" s="101"/>
      <c r="F116" s="102"/>
      <c r="G116" s="99"/>
      <c r="H116" s="99"/>
      <c r="I116" s="99"/>
      <c r="J116" s="99"/>
      <c r="K116" s="99"/>
      <c r="L116" s="99"/>
      <c r="M116" s="99"/>
      <c r="N116" s="99"/>
      <c r="O116" s="99"/>
      <c r="P116" s="99"/>
      <c r="Q116" s="99"/>
      <c r="R116" s="99"/>
      <c r="S116" s="99"/>
      <c r="T116" s="99"/>
      <c r="U116" s="99"/>
      <c r="V116" s="99"/>
      <c r="W116" s="99"/>
      <c r="X116" s="99"/>
      <c r="Y116" s="99"/>
      <c r="Z116" s="99"/>
      <c r="AA116" s="99"/>
      <c r="AB116" s="99"/>
      <c r="AC116" s="99"/>
      <c r="AD116" s="99"/>
      <c r="AE116" s="99"/>
      <c r="AF116" s="99"/>
      <c r="AG116" s="99"/>
      <c r="AH116" s="99"/>
      <c r="AI116" s="99"/>
      <c r="AJ116" s="99"/>
      <c r="AK116" s="99"/>
      <c r="AL116" s="99"/>
      <c r="AM116" s="99"/>
      <c r="AN116" s="99"/>
      <c r="AO116" s="99"/>
      <c r="AP116" s="99"/>
      <c r="AQ116" s="99"/>
      <c r="AR116" s="99"/>
      <c r="AS116" s="99"/>
      <c r="AT116" s="99"/>
      <c r="AU116" s="99"/>
    </row>
    <row r="117" spans="1:47" s="74" customFormat="1" x14ac:dyDescent="0.3">
      <c r="A117" s="99"/>
      <c r="B117" s="99"/>
      <c r="C117" s="100"/>
      <c r="D117" s="100"/>
      <c r="E117" s="101"/>
      <c r="F117" s="102"/>
      <c r="G117" s="99"/>
      <c r="H117" s="99"/>
      <c r="I117" s="99"/>
      <c r="J117" s="99"/>
      <c r="K117" s="99"/>
      <c r="L117" s="99"/>
      <c r="M117" s="99"/>
      <c r="N117" s="99"/>
      <c r="O117" s="99"/>
      <c r="P117" s="99"/>
      <c r="Q117" s="99"/>
      <c r="R117" s="99"/>
      <c r="S117" s="99"/>
      <c r="T117" s="99"/>
      <c r="U117" s="99"/>
      <c r="V117" s="99"/>
      <c r="W117" s="99"/>
      <c r="X117" s="99"/>
      <c r="Y117" s="99"/>
      <c r="Z117" s="99"/>
      <c r="AA117" s="99"/>
      <c r="AB117" s="99"/>
      <c r="AC117" s="99"/>
      <c r="AD117" s="99"/>
      <c r="AE117" s="99"/>
      <c r="AF117" s="99"/>
      <c r="AG117" s="99"/>
      <c r="AH117" s="99"/>
      <c r="AI117" s="99"/>
      <c r="AJ117" s="99"/>
      <c r="AK117" s="99"/>
      <c r="AL117" s="99"/>
      <c r="AM117" s="99"/>
      <c r="AN117" s="99"/>
      <c r="AO117" s="99"/>
      <c r="AP117" s="99"/>
      <c r="AQ117" s="99"/>
      <c r="AR117" s="99"/>
      <c r="AS117" s="99"/>
      <c r="AT117" s="99"/>
      <c r="AU117" s="99"/>
    </row>
    <row r="118" spans="1:47" s="74" customFormat="1" x14ac:dyDescent="0.3">
      <c r="A118" s="99"/>
      <c r="B118" s="99"/>
      <c r="C118" s="100"/>
      <c r="D118" s="100"/>
      <c r="E118" s="101"/>
      <c r="F118" s="102"/>
      <c r="G118" s="99"/>
      <c r="H118" s="99"/>
      <c r="I118" s="99"/>
      <c r="J118" s="99"/>
      <c r="K118" s="99"/>
      <c r="L118" s="99"/>
      <c r="M118" s="99"/>
      <c r="N118" s="99"/>
      <c r="O118" s="99"/>
      <c r="P118" s="99"/>
      <c r="Q118" s="99"/>
      <c r="R118" s="99"/>
      <c r="S118" s="99"/>
      <c r="T118" s="99"/>
      <c r="U118" s="99"/>
      <c r="V118" s="99"/>
      <c r="W118" s="99"/>
      <c r="X118" s="99"/>
      <c r="Y118" s="99"/>
      <c r="Z118" s="99"/>
      <c r="AA118" s="99"/>
      <c r="AB118" s="99"/>
      <c r="AC118" s="99"/>
      <c r="AD118" s="99"/>
      <c r="AE118" s="99"/>
      <c r="AF118" s="99"/>
      <c r="AG118" s="99"/>
      <c r="AH118" s="99"/>
      <c r="AI118" s="99"/>
      <c r="AJ118" s="99"/>
      <c r="AK118" s="99"/>
      <c r="AL118" s="99"/>
      <c r="AM118" s="99"/>
      <c r="AN118" s="99"/>
      <c r="AO118" s="99"/>
      <c r="AP118" s="99"/>
      <c r="AQ118" s="99"/>
      <c r="AR118" s="99"/>
      <c r="AS118" s="99"/>
      <c r="AT118" s="99"/>
      <c r="AU118" s="99"/>
    </row>
    <row r="119" spans="1:47" s="74" customFormat="1" x14ac:dyDescent="0.3">
      <c r="A119" s="99"/>
      <c r="B119" s="99"/>
      <c r="C119" s="100"/>
      <c r="D119" s="100"/>
      <c r="E119" s="101"/>
      <c r="F119" s="102"/>
      <c r="G119" s="99"/>
      <c r="H119" s="99"/>
      <c r="I119" s="99"/>
      <c r="J119" s="99"/>
      <c r="K119" s="99"/>
      <c r="L119" s="99"/>
      <c r="M119" s="99"/>
      <c r="N119" s="99"/>
      <c r="O119" s="99"/>
      <c r="P119" s="99"/>
      <c r="Q119" s="99"/>
      <c r="R119" s="99"/>
      <c r="S119" s="99"/>
      <c r="T119" s="99"/>
      <c r="U119" s="99"/>
      <c r="V119" s="99"/>
      <c r="W119" s="99"/>
      <c r="X119" s="99"/>
      <c r="Y119" s="99"/>
      <c r="Z119" s="99"/>
      <c r="AA119" s="99"/>
      <c r="AB119" s="99"/>
      <c r="AC119" s="99"/>
      <c r="AD119" s="99"/>
      <c r="AE119" s="99"/>
      <c r="AF119" s="99"/>
      <c r="AG119" s="99"/>
      <c r="AH119" s="99"/>
      <c r="AI119" s="99"/>
      <c r="AJ119" s="99"/>
      <c r="AK119" s="99"/>
      <c r="AL119" s="99"/>
      <c r="AM119" s="99"/>
      <c r="AN119" s="99"/>
      <c r="AO119" s="99"/>
      <c r="AP119" s="99"/>
      <c r="AQ119" s="99"/>
      <c r="AR119" s="99"/>
      <c r="AS119" s="99"/>
      <c r="AT119" s="99"/>
      <c r="AU119" s="99"/>
    </row>
    <row r="120" spans="1:47" s="74" customFormat="1" x14ac:dyDescent="0.3">
      <c r="A120" s="99"/>
      <c r="B120" s="99"/>
      <c r="C120" s="100"/>
      <c r="D120" s="100"/>
      <c r="E120" s="101"/>
      <c r="F120" s="102"/>
      <c r="G120" s="99"/>
      <c r="H120" s="99"/>
      <c r="I120" s="99"/>
      <c r="J120" s="99"/>
      <c r="K120" s="99"/>
      <c r="L120" s="99"/>
      <c r="M120" s="99"/>
      <c r="N120" s="99"/>
      <c r="O120" s="99"/>
      <c r="P120" s="99"/>
      <c r="Q120" s="99"/>
      <c r="R120" s="99"/>
      <c r="S120" s="99"/>
      <c r="T120" s="99"/>
      <c r="U120" s="99"/>
      <c r="V120" s="99"/>
      <c r="W120" s="99"/>
      <c r="X120" s="99"/>
      <c r="Y120" s="99"/>
      <c r="Z120" s="99"/>
      <c r="AA120" s="99"/>
      <c r="AB120" s="99"/>
      <c r="AC120" s="99"/>
      <c r="AD120" s="99"/>
      <c r="AE120" s="99"/>
      <c r="AF120" s="99"/>
      <c r="AG120" s="99"/>
      <c r="AH120" s="99"/>
      <c r="AI120" s="99"/>
      <c r="AJ120" s="99"/>
      <c r="AK120" s="99"/>
      <c r="AL120" s="99"/>
      <c r="AM120" s="99"/>
      <c r="AN120" s="99"/>
      <c r="AO120" s="99"/>
      <c r="AP120" s="99"/>
      <c r="AQ120" s="99"/>
      <c r="AR120" s="99"/>
      <c r="AS120" s="99"/>
      <c r="AT120" s="99"/>
      <c r="AU120" s="99"/>
    </row>
    <row r="121" spans="1:47" s="74" customFormat="1" x14ac:dyDescent="0.3">
      <c r="A121" s="99"/>
      <c r="B121" s="99"/>
      <c r="C121" s="100"/>
      <c r="D121" s="100"/>
      <c r="E121" s="101"/>
      <c r="F121" s="102"/>
      <c r="G121" s="99"/>
      <c r="H121" s="99"/>
      <c r="I121" s="99"/>
      <c r="J121" s="99"/>
      <c r="K121" s="99"/>
      <c r="L121" s="99"/>
      <c r="M121" s="99"/>
      <c r="N121" s="99"/>
      <c r="O121" s="99"/>
      <c r="P121" s="99"/>
      <c r="Q121" s="99"/>
      <c r="R121" s="99"/>
      <c r="S121" s="99"/>
      <c r="T121" s="99"/>
      <c r="U121" s="99"/>
      <c r="V121" s="99"/>
      <c r="W121" s="99"/>
      <c r="X121" s="99"/>
      <c r="Y121" s="99"/>
      <c r="Z121" s="99"/>
      <c r="AA121" s="99"/>
      <c r="AB121" s="99"/>
      <c r="AC121" s="99"/>
      <c r="AD121" s="99"/>
      <c r="AE121" s="99"/>
      <c r="AF121" s="99"/>
      <c r="AG121" s="99"/>
      <c r="AH121" s="99"/>
      <c r="AI121" s="99"/>
      <c r="AJ121" s="99"/>
      <c r="AK121" s="99"/>
      <c r="AL121" s="99"/>
      <c r="AM121" s="99"/>
      <c r="AN121" s="99"/>
      <c r="AO121" s="99"/>
      <c r="AP121" s="99"/>
      <c r="AQ121" s="99"/>
      <c r="AR121" s="99"/>
      <c r="AS121" s="99"/>
      <c r="AT121" s="99"/>
      <c r="AU121" s="99"/>
    </row>
    <row r="122" spans="1:47" s="74" customFormat="1" x14ac:dyDescent="0.3">
      <c r="A122" s="99"/>
      <c r="B122" s="99"/>
      <c r="C122" s="100"/>
      <c r="D122" s="100"/>
      <c r="E122" s="101"/>
      <c r="F122" s="102"/>
      <c r="G122" s="99"/>
      <c r="H122" s="99"/>
      <c r="I122" s="99"/>
      <c r="J122" s="99"/>
      <c r="K122" s="99"/>
      <c r="L122" s="99"/>
      <c r="M122" s="99"/>
      <c r="N122" s="99"/>
      <c r="O122" s="99"/>
      <c r="P122" s="99"/>
      <c r="Q122" s="99"/>
      <c r="R122" s="99"/>
      <c r="S122" s="99"/>
      <c r="T122" s="99"/>
      <c r="U122" s="99"/>
      <c r="V122" s="99"/>
      <c r="W122" s="99"/>
      <c r="X122" s="99"/>
      <c r="Y122" s="99"/>
      <c r="Z122" s="99"/>
      <c r="AA122" s="99"/>
      <c r="AB122" s="99"/>
      <c r="AC122" s="99"/>
      <c r="AD122" s="99"/>
      <c r="AE122" s="99"/>
      <c r="AF122" s="99"/>
      <c r="AG122" s="99"/>
      <c r="AH122" s="99"/>
      <c r="AI122" s="99"/>
      <c r="AJ122" s="99"/>
      <c r="AK122" s="99"/>
      <c r="AL122" s="99"/>
      <c r="AM122" s="99"/>
      <c r="AN122" s="99"/>
      <c r="AO122" s="99"/>
      <c r="AP122" s="99"/>
      <c r="AQ122" s="99"/>
      <c r="AR122" s="99"/>
      <c r="AS122" s="99"/>
      <c r="AT122" s="99"/>
      <c r="AU122" s="99"/>
    </row>
    <row r="123" spans="1:47" s="74" customFormat="1" x14ac:dyDescent="0.3">
      <c r="A123" s="99"/>
      <c r="B123" s="99"/>
      <c r="C123" s="100"/>
      <c r="D123" s="100"/>
      <c r="E123" s="101"/>
      <c r="F123" s="102"/>
      <c r="G123" s="99"/>
      <c r="H123" s="99"/>
      <c r="I123" s="99"/>
      <c r="J123" s="99"/>
      <c r="K123" s="99"/>
      <c r="L123" s="99"/>
      <c r="M123" s="99"/>
      <c r="N123" s="99"/>
      <c r="O123" s="99"/>
      <c r="P123" s="99"/>
      <c r="Q123" s="99"/>
      <c r="R123" s="99"/>
      <c r="S123" s="99"/>
      <c r="T123" s="99"/>
      <c r="U123" s="99"/>
      <c r="V123" s="99"/>
      <c r="W123" s="99"/>
      <c r="X123" s="99"/>
      <c r="Y123" s="99"/>
      <c r="Z123" s="99"/>
      <c r="AA123" s="99"/>
      <c r="AB123" s="99"/>
      <c r="AC123" s="99"/>
      <c r="AD123" s="99"/>
      <c r="AE123" s="99"/>
      <c r="AF123" s="99"/>
      <c r="AG123" s="99"/>
      <c r="AH123" s="99"/>
      <c r="AI123" s="99"/>
      <c r="AJ123" s="99"/>
      <c r="AK123" s="99"/>
      <c r="AL123" s="99"/>
      <c r="AM123" s="99"/>
      <c r="AN123" s="99"/>
      <c r="AO123" s="99"/>
      <c r="AP123" s="99"/>
      <c r="AQ123" s="99"/>
      <c r="AR123" s="99"/>
      <c r="AS123" s="99"/>
      <c r="AT123" s="99"/>
      <c r="AU123" s="99"/>
    </row>
    <row r="124" spans="1:47" s="74" customFormat="1" x14ac:dyDescent="0.3">
      <c r="A124" s="99"/>
      <c r="B124" s="99"/>
      <c r="C124" s="100"/>
      <c r="D124" s="100"/>
      <c r="E124" s="101"/>
      <c r="F124" s="102"/>
      <c r="G124" s="99"/>
      <c r="H124" s="99"/>
      <c r="I124" s="99"/>
      <c r="J124" s="99"/>
      <c r="K124" s="99"/>
      <c r="L124" s="99"/>
      <c r="M124" s="99"/>
      <c r="N124" s="99"/>
      <c r="O124" s="99"/>
      <c r="P124" s="99"/>
      <c r="Q124" s="99"/>
      <c r="R124" s="99"/>
      <c r="S124" s="99"/>
      <c r="T124" s="99"/>
      <c r="U124" s="99"/>
      <c r="V124" s="99"/>
      <c r="W124" s="99"/>
      <c r="X124" s="99"/>
      <c r="Y124" s="99"/>
      <c r="Z124" s="99"/>
      <c r="AA124" s="99"/>
      <c r="AB124" s="99"/>
      <c r="AC124" s="99"/>
      <c r="AD124" s="99"/>
      <c r="AE124" s="99"/>
      <c r="AF124" s="99"/>
      <c r="AG124" s="99"/>
      <c r="AH124" s="99"/>
      <c r="AI124" s="99"/>
      <c r="AJ124" s="99"/>
      <c r="AK124" s="99"/>
      <c r="AL124" s="99"/>
      <c r="AM124" s="99"/>
      <c r="AN124" s="99"/>
      <c r="AO124" s="99"/>
      <c r="AP124" s="99"/>
      <c r="AQ124" s="99"/>
      <c r="AR124" s="99"/>
      <c r="AS124" s="99"/>
      <c r="AT124" s="99"/>
      <c r="AU124" s="99"/>
    </row>
    <row r="125" spans="1:47" s="74" customFormat="1" x14ac:dyDescent="0.3">
      <c r="A125" s="99"/>
      <c r="B125" s="99"/>
      <c r="C125" s="100"/>
      <c r="D125" s="100"/>
      <c r="E125" s="101"/>
      <c r="F125" s="102"/>
      <c r="G125" s="99"/>
      <c r="H125" s="99"/>
      <c r="I125" s="99"/>
      <c r="J125" s="99"/>
      <c r="K125" s="99"/>
      <c r="L125" s="99"/>
      <c r="M125" s="99"/>
      <c r="N125" s="99"/>
      <c r="O125" s="99"/>
      <c r="P125" s="99"/>
      <c r="Q125" s="99"/>
      <c r="R125" s="99"/>
      <c r="S125" s="99"/>
      <c r="T125" s="99"/>
      <c r="U125" s="99"/>
      <c r="V125" s="99"/>
      <c r="W125" s="99"/>
      <c r="X125" s="99"/>
      <c r="Y125" s="99"/>
      <c r="Z125" s="99"/>
      <c r="AA125" s="99"/>
      <c r="AB125" s="99"/>
      <c r="AC125" s="99"/>
      <c r="AD125" s="99"/>
      <c r="AE125" s="99"/>
      <c r="AF125" s="99"/>
      <c r="AG125" s="99"/>
      <c r="AH125" s="99"/>
      <c r="AI125" s="99"/>
      <c r="AJ125" s="99"/>
      <c r="AK125" s="99"/>
      <c r="AL125" s="99"/>
      <c r="AM125" s="99"/>
      <c r="AN125" s="99"/>
      <c r="AO125" s="99"/>
      <c r="AP125" s="99"/>
      <c r="AQ125" s="99"/>
      <c r="AR125" s="99"/>
      <c r="AS125" s="99"/>
      <c r="AT125" s="99"/>
      <c r="AU125" s="99"/>
    </row>
    <row r="126" spans="1:47" s="74" customFormat="1" x14ac:dyDescent="0.3">
      <c r="A126" s="99"/>
      <c r="B126" s="99"/>
      <c r="C126" s="100"/>
      <c r="D126" s="100"/>
      <c r="E126" s="101"/>
      <c r="F126" s="102"/>
      <c r="G126" s="99"/>
      <c r="H126" s="99"/>
      <c r="I126" s="99"/>
      <c r="J126" s="99"/>
      <c r="K126" s="99"/>
      <c r="L126" s="99"/>
      <c r="M126" s="99"/>
      <c r="N126" s="99"/>
      <c r="O126" s="99"/>
      <c r="P126" s="99"/>
      <c r="Q126" s="99"/>
      <c r="R126" s="99"/>
      <c r="S126" s="99"/>
      <c r="T126" s="99"/>
      <c r="U126" s="99"/>
      <c r="V126" s="99"/>
      <c r="W126" s="99"/>
      <c r="X126" s="99"/>
      <c r="Y126" s="99"/>
      <c r="Z126" s="99"/>
      <c r="AA126" s="99"/>
      <c r="AB126" s="99"/>
      <c r="AC126" s="99"/>
      <c r="AD126" s="99"/>
      <c r="AE126" s="99"/>
      <c r="AF126" s="99"/>
      <c r="AG126" s="99"/>
      <c r="AH126" s="99"/>
      <c r="AI126" s="99"/>
      <c r="AJ126" s="99"/>
      <c r="AK126" s="99"/>
      <c r="AL126" s="99"/>
      <c r="AM126" s="99"/>
      <c r="AN126" s="99"/>
      <c r="AO126" s="99"/>
      <c r="AP126" s="99"/>
      <c r="AQ126" s="99"/>
      <c r="AR126" s="99"/>
      <c r="AS126" s="99"/>
      <c r="AT126" s="99"/>
      <c r="AU126" s="99"/>
    </row>
    <row r="127" spans="1:47" s="74" customFormat="1" x14ac:dyDescent="0.3">
      <c r="A127" s="99"/>
      <c r="B127" s="99"/>
      <c r="C127" s="100"/>
      <c r="D127" s="100"/>
      <c r="E127" s="101"/>
      <c r="F127" s="102"/>
      <c r="G127" s="99"/>
      <c r="H127" s="99"/>
      <c r="I127" s="99"/>
      <c r="J127" s="99"/>
      <c r="K127" s="99"/>
      <c r="L127" s="99"/>
      <c r="M127" s="99"/>
      <c r="N127" s="99"/>
      <c r="O127" s="99"/>
      <c r="P127" s="99"/>
      <c r="Q127" s="99"/>
      <c r="R127" s="99"/>
      <c r="S127" s="99"/>
      <c r="T127" s="99"/>
      <c r="U127" s="99"/>
      <c r="V127" s="99"/>
      <c r="W127" s="99"/>
      <c r="X127" s="99"/>
      <c r="Y127" s="99"/>
      <c r="Z127" s="99"/>
      <c r="AA127" s="99"/>
      <c r="AB127" s="99"/>
      <c r="AC127" s="99"/>
      <c r="AD127" s="99"/>
      <c r="AE127" s="99"/>
      <c r="AF127" s="99"/>
      <c r="AG127" s="99"/>
      <c r="AH127" s="99"/>
      <c r="AI127" s="99"/>
      <c r="AJ127" s="99"/>
      <c r="AK127" s="99"/>
      <c r="AL127" s="99"/>
      <c r="AM127" s="99"/>
      <c r="AN127" s="99"/>
      <c r="AO127" s="99"/>
      <c r="AP127" s="99"/>
      <c r="AQ127" s="99"/>
      <c r="AR127" s="99"/>
      <c r="AS127" s="99"/>
      <c r="AT127" s="99"/>
      <c r="AU127" s="99"/>
    </row>
    <row r="128" spans="1:47" s="74" customFormat="1" x14ac:dyDescent="0.3">
      <c r="A128" s="99"/>
      <c r="B128" s="99"/>
      <c r="C128" s="100"/>
      <c r="D128" s="100"/>
      <c r="E128" s="101"/>
      <c r="F128" s="102"/>
      <c r="G128" s="99"/>
      <c r="H128" s="99"/>
      <c r="I128" s="99"/>
      <c r="J128" s="99"/>
      <c r="K128" s="99"/>
      <c r="L128" s="99"/>
      <c r="M128" s="99"/>
      <c r="N128" s="99"/>
      <c r="O128" s="99"/>
      <c r="P128" s="99"/>
      <c r="Q128" s="99"/>
      <c r="R128" s="99"/>
      <c r="S128" s="99"/>
      <c r="T128" s="99"/>
      <c r="U128" s="99"/>
      <c r="V128" s="99"/>
      <c r="W128" s="99"/>
      <c r="X128" s="99"/>
      <c r="Y128" s="99"/>
      <c r="Z128" s="99"/>
      <c r="AA128" s="99"/>
      <c r="AB128" s="99"/>
      <c r="AC128" s="99"/>
      <c r="AD128" s="99"/>
      <c r="AE128" s="99"/>
      <c r="AF128" s="99"/>
      <c r="AG128" s="99"/>
      <c r="AH128" s="99"/>
      <c r="AI128" s="99"/>
      <c r="AJ128" s="99"/>
      <c r="AK128" s="99"/>
      <c r="AL128" s="99"/>
      <c r="AM128" s="99"/>
      <c r="AN128" s="99"/>
      <c r="AO128" s="99"/>
      <c r="AP128" s="99"/>
      <c r="AQ128" s="99"/>
      <c r="AR128" s="99"/>
      <c r="AS128" s="99"/>
      <c r="AT128" s="99"/>
      <c r="AU128" s="99"/>
    </row>
    <row r="129" spans="1:47" s="74" customFormat="1" x14ac:dyDescent="0.3">
      <c r="A129" s="99"/>
      <c r="B129" s="99"/>
      <c r="C129" s="100"/>
      <c r="D129" s="100"/>
      <c r="E129" s="101"/>
      <c r="F129" s="102"/>
      <c r="G129" s="99"/>
      <c r="H129" s="99"/>
      <c r="I129" s="99"/>
      <c r="J129" s="99"/>
      <c r="K129" s="99"/>
      <c r="L129" s="99"/>
      <c r="M129" s="99"/>
      <c r="N129" s="99"/>
      <c r="O129" s="99"/>
      <c r="P129" s="99"/>
      <c r="Q129" s="99"/>
      <c r="R129" s="99"/>
      <c r="S129" s="99"/>
      <c r="T129" s="99"/>
      <c r="U129" s="99"/>
      <c r="V129" s="99"/>
      <c r="W129" s="99"/>
      <c r="X129" s="99"/>
      <c r="Y129" s="99"/>
      <c r="Z129" s="99"/>
      <c r="AA129" s="99"/>
      <c r="AB129" s="99"/>
      <c r="AC129" s="99"/>
      <c r="AD129" s="99"/>
      <c r="AE129" s="99"/>
      <c r="AF129" s="99"/>
      <c r="AG129" s="99"/>
      <c r="AH129" s="99"/>
      <c r="AI129" s="99"/>
      <c r="AJ129" s="99"/>
      <c r="AK129" s="99"/>
      <c r="AL129" s="99"/>
      <c r="AM129" s="99"/>
      <c r="AN129" s="99"/>
      <c r="AO129" s="99"/>
      <c r="AP129" s="99"/>
      <c r="AQ129" s="99"/>
      <c r="AR129" s="99"/>
      <c r="AS129" s="99"/>
      <c r="AT129" s="99"/>
      <c r="AU129" s="99"/>
    </row>
    <row r="130" spans="1:47" s="74" customFormat="1" ht="28.5" x14ac:dyDescent="0.3">
      <c r="A130" s="99"/>
      <c r="B130" s="192" t="s">
        <v>84</v>
      </c>
      <c r="C130" s="192"/>
      <c r="D130" s="192"/>
      <c r="E130" s="192"/>
      <c r="F130" s="192"/>
      <c r="G130" s="99"/>
      <c r="H130" s="99"/>
      <c r="I130" s="99"/>
      <c r="J130" s="99"/>
      <c r="K130" s="99"/>
      <c r="L130" s="99"/>
      <c r="M130" s="99"/>
      <c r="N130" s="99"/>
      <c r="O130" s="99"/>
      <c r="P130" s="99"/>
      <c r="Q130" s="99"/>
      <c r="R130" s="99"/>
      <c r="S130" s="99"/>
      <c r="T130" s="99"/>
      <c r="U130" s="99"/>
      <c r="V130" s="99"/>
      <c r="W130" s="99"/>
      <c r="X130" s="99"/>
      <c r="Y130" s="99"/>
      <c r="Z130" s="99"/>
      <c r="AA130" s="99"/>
      <c r="AB130" s="99"/>
      <c r="AC130" s="99"/>
      <c r="AD130" s="99"/>
      <c r="AE130" s="99"/>
      <c r="AF130" s="99"/>
      <c r="AG130" s="99"/>
      <c r="AH130" s="99"/>
      <c r="AI130" s="99"/>
      <c r="AJ130" s="99"/>
      <c r="AK130" s="99"/>
      <c r="AL130" s="99"/>
      <c r="AM130" s="99"/>
      <c r="AN130" s="99"/>
      <c r="AO130" s="99"/>
      <c r="AP130" s="99"/>
      <c r="AQ130" s="99"/>
      <c r="AR130" s="99"/>
      <c r="AS130" s="99"/>
      <c r="AT130" s="99"/>
      <c r="AU130" s="99"/>
    </row>
    <row r="131" spans="1:47" s="74" customFormat="1" ht="42.75" x14ac:dyDescent="0.3">
      <c r="A131" s="99"/>
      <c r="B131" s="193" t="s">
        <v>3</v>
      </c>
      <c r="C131" s="193"/>
      <c r="D131" s="114" t="s">
        <v>7</v>
      </c>
      <c r="E131" s="115" t="s">
        <v>83</v>
      </c>
      <c r="F131" s="116" t="s">
        <v>8</v>
      </c>
      <c r="G131" s="99"/>
      <c r="H131" s="99"/>
      <c r="I131" s="99"/>
      <c r="J131" s="99"/>
      <c r="K131" s="99"/>
      <c r="L131" s="99"/>
      <c r="M131" s="99"/>
      <c r="N131" s="99"/>
      <c r="O131" s="99"/>
      <c r="P131" s="99"/>
      <c r="Q131" s="99"/>
      <c r="R131" s="99"/>
      <c r="S131" s="99"/>
      <c r="T131" s="99"/>
      <c r="U131" s="99"/>
      <c r="V131" s="99"/>
      <c r="W131" s="99"/>
      <c r="X131" s="99"/>
      <c r="Y131" s="99"/>
      <c r="Z131" s="99"/>
      <c r="AA131" s="99"/>
      <c r="AB131" s="99"/>
      <c r="AC131" s="99"/>
      <c r="AD131" s="99"/>
      <c r="AE131" s="99"/>
      <c r="AF131" s="99"/>
      <c r="AG131" s="99"/>
      <c r="AH131" s="99"/>
      <c r="AI131" s="99"/>
      <c r="AJ131" s="99"/>
      <c r="AK131" s="99"/>
      <c r="AL131" s="99"/>
      <c r="AM131" s="99"/>
      <c r="AN131" s="99"/>
      <c r="AO131" s="99"/>
      <c r="AP131" s="99"/>
      <c r="AQ131" s="99"/>
      <c r="AR131" s="99"/>
      <c r="AS131" s="99"/>
      <c r="AT131" s="99"/>
      <c r="AU131" s="99"/>
    </row>
    <row r="132" spans="1:47" s="74" customFormat="1" x14ac:dyDescent="0.3">
      <c r="A132" s="99"/>
      <c r="B132" s="117" t="s">
        <v>1</v>
      </c>
      <c r="C132" s="118"/>
      <c r="D132" s="119"/>
      <c r="E132" s="120" t="str">
        <f ca="1">IFERROR(D132/(C132/365*Données!$B$3),"")</f>
        <v/>
      </c>
      <c r="F132" s="121" t="str">
        <f t="shared" ref="F132:F137" si="5">IFERROR(D132/C132,"")</f>
        <v/>
      </c>
      <c r="G132" s="99"/>
      <c r="H132" s="99"/>
      <c r="I132" s="99"/>
      <c r="J132" s="99"/>
      <c r="K132" s="99"/>
      <c r="L132" s="99"/>
      <c r="M132" s="99"/>
      <c r="N132" s="99"/>
      <c r="O132" s="99"/>
      <c r="P132" s="99"/>
      <c r="Q132" s="99"/>
      <c r="R132" s="99"/>
      <c r="S132" s="99"/>
      <c r="T132" s="99"/>
      <c r="U132" s="99"/>
      <c r="V132" s="99"/>
      <c r="W132" s="99"/>
      <c r="X132" s="99"/>
      <c r="Y132" s="99"/>
      <c r="Z132" s="99"/>
      <c r="AA132" s="99"/>
      <c r="AB132" s="99"/>
      <c r="AC132" s="99"/>
      <c r="AD132" s="99"/>
      <c r="AE132" s="99"/>
      <c r="AF132" s="99"/>
      <c r="AG132" s="99"/>
      <c r="AH132" s="99"/>
      <c r="AI132" s="99"/>
      <c r="AJ132" s="99"/>
      <c r="AK132" s="99"/>
      <c r="AL132" s="99"/>
      <c r="AM132" s="99"/>
      <c r="AN132" s="99"/>
      <c r="AO132" s="99"/>
      <c r="AP132" s="99"/>
      <c r="AQ132" s="99"/>
      <c r="AR132" s="99"/>
      <c r="AS132" s="99"/>
      <c r="AT132" s="99"/>
      <c r="AU132" s="99"/>
    </row>
    <row r="133" spans="1:47" s="74" customFormat="1" x14ac:dyDescent="0.3">
      <c r="A133" s="99"/>
      <c r="B133" s="122" t="s">
        <v>2</v>
      </c>
      <c r="C133" s="123"/>
      <c r="D133" s="123">
        <v>0</v>
      </c>
      <c r="E133" s="124" t="str">
        <f ca="1">IFERROR(D133/(C133/365*Données!$B$3),"")</f>
        <v/>
      </c>
      <c r="F133" s="125" t="str">
        <f t="shared" si="5"/>
        <v/>
      </c>
      <c r="G133" s="99"/>
      <c r="H133" s="99"/>
      <c r="I133" s="99"/>
      <c r="J133" s="99"/>
      <c r="K133" s="99"/>
      <c r="L133" s="99"/>
      <c r="M133" s="99"/>
      <c r="N133" s="99"/>
      <c r="O133" s="99"/>
      <c r="P133" s="99"/>
      <c r="Q133" s="99"/>
      <c r="R133" s="99"/>
      <c r="S133" s="99"/>
      <c r="T133" s="99"/>
      <c r="U133" s="99"/>
      <c r="V133" s="99"/>
      <c r="W133" s="99"/>
      <c r="X133" s="99"/>
      <c r="Y133" s="99"/>
      <c r="Z133" s="99"/>
      <c r="AA133" s="99"/>
      <c r="AB133" s="99"/>
      <c r="AC133" s="99"/>
      <c r="AD133" s="99"/>
      <c r="AE133" s="99"/>
      <c r="AF133" s="99"/>
      <c r="AG133" s="99"/>
      <c r="AH133" s="99"/>
      <c r="AI133" s="99"/>
      <c r="AJ133" s="99"/>
      <c r="AK133" s="99"/>
      <c r="AL133" s="99"/>
      <c r="AM133" s="99"/>
      <c r="AN133" s="99"/>
      <c r="AO133" s="99"/>
      <c r="AP133" s="99"/>
      <c r="AQ133" s="99"/>
      <c r="AR133" s="99"/>
      <c r="AS133" s="99"/>
      <c r="AT133" s="99"/>
      <c r="AU133" s="99"/>
    </row>
    <row r="134" spans="1:47" s="74" customFormat="1" x14ac:dyDescent="0.3">
      <c r="A134" s="99"/>
      <c r="B134" s="122" t="s">
        <v>4</v>
      </c>
      <c r="C134" s="123"/>
      <c r="D134" s="123">
        <v>0</v>
      </c>
      <c r="E134" s="124" t="str">
        <f ca="1">IFERROR(D134/(C134/365*Données!$B$3),"")</f>
        <v/>
      </c>
      <c r="F134" s="125" t="str">
        <f t="shared" si="5"/>
        <v/>
      </c>
      <c r="G134" s="99"/>
      <c r="H134" s="99"/>
      <c r="I134" s="99"/>
      <c r="J134" s="99"/>
      <c r="K134" s="99"/>
      <c r="L134" s="99"/>
      <c r="M134" s="99"/>
      <c r="N134" s="99"/>
      <c r="O134" s="99"/>
      <c r="P134" s="99"/>
      <c r="Q134" s="99"/>
      <c r="R134" s="99"/>
      <c r="S134" s="99"/>
      <c r="T134" s="99"/>
      <c r="U134" s="99"/>
      <c r="V134" s="99"/>
      <c r="W134" s="99"/>
      <c r="X134" s="99"/>
      <c r="Y134" s="99"/>
      <c r="Z134" s="99"/>
      <c r="AA134" s="99"/>
      <c r="AB134" s="99"/>
      <c r="AC134" s="99"/>
      <c r="AD134" s="99"/>
      <c r="AE134" s="99"/>
      <c r="AF134" s="99"/>
      <c r="AG134" s="99"/>
      <c r="AH134" s="99"/>
      <c r="AI134" s="99"/>
      <c r="AJ134" s="99"/>
      <c r="AK134" s="99"/>
      <c r="AL134" s="99"/>
      <c r="AM134" s="99"/>
      <c r="AN134" s="99"/>
      <c r="AO134" s="99"/>
      <c r="AP134" s="99"/>
      <c r="AQ134" s="99"/>
      <c r="AR134" s="99"/>
      <c r="AS134" s="99"/>
      <c r="AT134" s="99"/>
      <c r="AU134" s="99"/>
    </row>
    <row r="135" spans="1:47" s="74" customFormat="1" x14ac:dyDescent="0.3">
      <c r="A135" s="99"/>
      <c r="B135" s="122" t="s">
        <v>14</v>
      </c>
      <c r="C135" s="123"/>
      <c r="D135" s="123">
        <v>0</v>
      </c>
      <c r="E135" s="124" t="str">
        <f ca="1">IFERROR(D135/(C135/365*Données!$B$3),"")</f>
        <v/>
      </c>
      <c r="F135" s="125" t="str">
        <f t="shared" si="5"/>
        <v/>
      </c>
      <c r="G135" s="99"/>
      <c r="H135" s="99"/>
      <c r="I135" s="99"/>
      <c r="J135" s="99"/>
      <c r="K135" s="99"/>
      <c r="L135" s="99"/>
      <c r="M135" s="99"/>
      <c r="N135" s="99"/>
      <c r="O135" s="99"/>
      <c r="P135" s="99"/>
      <c r="Q135" s="99"/>
      <c r="R135" s="99"/>
      <c r="S135" s="99"/>
      <c r="T135" s="99"/>
      <c r="U135" s="99"/>
      <c r="V135" s="99"/>
      <c r="W135" s="99"/>
      <c r="X135" s="99"/>
      <c r="Y135" s="99"/>
      <c r="Z135" s="99"/>
      <c r="AA135" s="99"/>
      <c r="AB135" s="99"/>
      <c r="AC135" s="99"/>
      <c r="AD135" s="99"/>
      <c r="AE135" s="99"/>
      <c r="AF135" s="99"/>
      <c r="AG135" s="99"/>
      <c r="AH135" s="99"/>
      <c r="AI135" s="99"/>
      <c r="AJ135" s="99"/>
      <c r="AK135" s="99"/>
      <c r="AL135" s="99"/>
      <c r="AM135" s="99"/>
      <c r="AN135" s="99"/>
      <c r="AO135" s="99"/>
      <c r="AP135" s="99"/>
      <c r="AQ135" s="99"/>
      <c r="AR135" s="99"/>
      <c r="AS135" s="99"/>
      <c r="AT135" s="99"/>
      <c r="AU135" s="99"/>
    </row>
    <row r="136" spans="1:47" s="74" customFormat="1" x14ac:dyDescent="0.3">
      <c r="A136" s="99"/>
      <c r="B136" s="122" t="s">
        <v>5</v>
      </c>
      <c r="C136" s="123"/>
      <c r="D136" s="123">
        <v>0</v>
      </c>
      <c r="E136" s="124" t="str">
        <f ca="1">IFERROR(D136/(C136/365*Données!$B$3),"")</f>
        <v/>
      </c>
      <c r="F136" s="125" t="str">
        <f t="shared" si="5"/>
        <v/>
      </c>
      <c r="G136" s="99"/>
      <c r="H136" s="99"/>
      <c r="I136" s="99"/>
      <c r="J136" s="99"/>
      <c r="K136" s="99"/>
      <c r="L136" s="99"/>
      <c r="M136" s="99"/>
      <c r="N136" s="99"/>
      <c r="O136" s="99"/>
      <c r="P136" s="99"/>
      <c r="Q136" s="99"/>
      <c r="R136" s="99"/>
      <c r="S136" s="99"/>
      <c r="T136" s="99"/>
      <c r="U136" s="99"/>
      <c r="V136" s="99"/>
      <c r="W136" s="99"/>
      <c r="X136" s="99"/>
      <c r="Y136" s="99"/>
      <c r="Z136" s="99"/>
      <c r="AA136" s="99"/>
      <c r="AB136" s="99"/>
      <c r="AC136" s="99"/>
      <c r="AD136" s="99"/>
      <c r="AE136" s="99"/>
      <c r="AF136" s="99"/>
      <c r="AG136" s="99"/>
      <c r="AH136" s="99"/>
      <c r="AI136" s="99"/>
      <c r="AJ136" s="99"/>
      <c r="AK136" s="99"/>
      <c r="AL136" s="99"/>
      <c r="AM136" s="99"/>
      <c r="AN136" s="99"/>
      <c r="AO136" s="99"/>
      <c r="AP136" s="99"/>
      <c r="AQ136" s="99"/>
      <c r="AR136" s="99"/>
      <c r="AS136" s="99"/>
      <c r="AT136" s="99"/>
      <c r="AU136" s="99"/>
    </row>
    <row r="137" spans="1:47" s="74" customFormat="1" x14ac:dyDescent="0.3">
      <c r="A137" s="99"/>
      <c r="B137" s="122" t="s">
        <v>6</v>
      </c>
      <c r="C137" s="123"/>
      <c r="D137" s="123">
        <v>0</v>
      </c>
      <c r="E137" s="126" t="str">
        <f ca="1">IFERROR(D137/(C137/365*Données!$B$3),"")</f>
        <v/>
      </c>
      <c r="F137" s="127" t="str">
        <f t="shared" si="5"/>
        <v/>
      </c>
      <c r="G137" s="99"/>
      <c r="H137" s="99"/>
      <c r="I137" s="99"/>
      <c r="J137" s="99"/>
      <c r="K137" s="99"/>
      <c r="L137" s="99"/>
      <c r="M137" s="99"/>
      <c r="N137" s="99"/>
      <c r="O137" s="99"/>
      <c r="P137" s="99"/>
      <c r="Q137" s="99"/>
      <c r="R137" s="99"/>
      <c r="S137" s="99"/>
      <c r="T137" s="99"/>
      <c r="U137" s="99"/>
      <c r="V137" s="99"/>
      <c r="W137" s="99"/>
      <c r="X137" s="99"/>
      <c r="Y137" s="99"/>
      <c r="Z137" s="99"/>
      <c r="AA137" s="99"/>
      <c r="AB137" s="99"/>
      <c r="AC137" s="99"/>
      <c r="AD137" s="99"/>
      <c r="AE137" s="99"/>
      <c r="AF137" s="99"/>
      <c r="AG137" s="99"/>
      <c r="AH137" s="99"/>
      <c r="AI137" s="99"/>
      <c r="AJ137" s="99"/>
      <c r="AK137" s="99"/>
      <c r="AL137" s="99"/>
      <c r="AM137" s="99"/>
      <c r="AN137" s="99"/>
      <c r="AO137" s="99"/>
      <c r="AP137" s="99"/>
      <c r="AQ137" s="99"/>
      <c r="AR137" s="99"/>
      <c r="AS137" s="99"/>
      <c r="AT137" s="99"/>
      <c r="AU137" s="99"/>
    </row>
    <row r="138" spans="1:47" s="74" customFormat="1" x14ac:dyDescent="0.3">
      <c r="A138" s="99"/>
      <c r="B138" s="99"/>
      <c r="C138" s="100"/>
      <c r="D138" s="100"/>
      <c r="E138" s="101"/>
      <c r="F138" s="102"/>
      <c r="G138" s="99"/>
      <c r="H138" s="99"/>
      <c r="I138" s="99"/>
      <c r="J138" s="99"/>
      <c r="K138" s="99"/>
      <c r="L138" s="99"/>
      <c r="M138" s="99"/>
      <c r="N138" s="99"/>
      <c r="O138" s="99"/>
      <c r="P138" s="99"/>
      <c r="Q138" s="99"/>
      <c r="R138" s="99"/>
      <c r="S138" s="99"/>
      <c r="T138" s="99"/>
      <c r="U138" s="99"/>
      <c r="V138" s="99"/>
      <c r="W138" s="99"/>
      <c r="X138" s="99"/>
      <c r="Y138" s="99"/>
      <c r="Z138" s="99"/>
      <c r="AA138" s="99"/>
      <c r="AB138" s="99"/>
      <c r="AC138" s="99"/>
      <c r="AD138" s="99"/>
      <c r="AE138" s="99"/>
      <c r="AF138" s="99"/>
      <c r="AG138" s="99"/>
      <c r="AH138" s="99"/>
      <c r="AI138" s="99"/>
      <c r="AJ138" s="99"/>
      <c r="AK138" s="99"/>
      <c r="AL138" s="99"/>
      <c r="AM138" s="99"/>
      <c r="AN138" s="99"/>
      <c r="AO138" s="99"/>
      <c r="AP138" s="99"/>
      <c r="AQ138" s="99"/>
      <c r="AR138" s="99"/>
      <c r="AS138" s="99"/>
      <c r="AT138" s="99"/>
      <c r="AU138" s="99"/>
    </row>
    <row r="139" spans="1:47" s="74" customFormat="1" x14ac:dyDescent="0.3">
      <c r="A139" s="99"/>
      <c r="B139" s="99"/>
      <c r="C139" s="100"/>
      <c r="D139" s="100"/>
      <c r="E139" s="101"/>
      <c r="F139" s="102"/>
      <c r="G139" s="99"/>
      <c r="H139" s="99"/>
      <c r="I139" s="99"/>
      <c r="J139" s="99"/>
      <c r="K139" s="99"/>
      <c r="L139" s="99"/>
      <c r="M139" s="99"/>
      <c r="N139" s="99"/>
      <c r="O139" s="99"/>
      <c r="P139" s="99"/>
      <c r="Q139" s="99"/>
      <c r="R139" s="99"/>
      <c r="S139" s="99"/>
      <c r="T139" s="99"/>
      <c r="U139" s="99"/>
      <c r="V139" s="99"/>
      <c r="W139" s="99"/>
      <c r="X139" s="99"/>
      <c r="Y139" s="99"/>
      <c r="Z139" s="99"/>
      <c r="AA139" s="99"/>
      <c r="AB139" s="99"/>
      <c r="AC139" s="99"/>
      <c r="AD139" s="99"/>
      <c r="AE139" s="99"/>
      <c r="AF139" s="99"/>
      <c r="AG139" s="99"/>
      <c r="AH139" s="99"/>
      <c r="AI139" s="99"/>
      <c r="AJ139" s="99"/>
      <c r="AK139" s="99"/>
      <c r="AL139" s="99"/>
      <c r="AM139" s="99"/>
      <c r="AN139" s="99"/>
      <c r="AO139" s="99"/>
      <c r="AP139" s="99"/>
      <c r="AQ139" s="99"/>
      <c r="AR139" s="99"/>
      <c r="AS139" s="99"/>
      <c r="AT139" s="99"/>
      <c r="AU139" s="99"/>
    </row>
    <row r="140" spans="1:47" s="74" customFormat="1" x14ac:dyDescent="0.3">
      <c r="A140" s="99"/>
      <c r="B140" s="99"/>
      <c r="C140" s="100"/>
      <c r="D140" s="100"/>
      <c r="E140" s="101"/>
      <c r="F140" s="102"/>
      <c r="G140" s="99"/>
      <c r="H140" s="99"/>
      <c r="I140" s="99"/>
      <c r="J140" s="99"/>
      <c r="K140" s="99"/>
      <c r="L140" s="99"/>
      <c r="M140" s="99"/>
      <c r="N140" s="99"/>
      <c r="O140" s="99"/>
      <c r="P140" s="99"/>
      <c r="Q140" s="99"/>
      <c r="R140" s="99"/>
      <c r="S140" s="99"/>
      <c r="T140" s="99"/>
      <c r="U140" s="99"/>
      <c r="V140" s="99"/>
      <c r="W140" s="99"/>
      <c r="X140" s="99"/>
      <c r="Y140" s="99"/>
      <c r="Z140" s="99"/>
      <c r="AA140" s="99"/>
      <c r="AB140" s="99"/>
      <c r="AC140" s="99"/>
      <c r="AD140" s="99"/>
      <c r="AE140" s="99"/>
      <c r="AF140" s="99"/>
      <c r="AG140" s="99"/>
      <c r="AH140" s="99"/>
      <c r="AI140" s="99"/>
      <c r="AJ140" s="99"/>
      <c r="AK140" s="99"/>
      <c r="AL140" s="99"/>
      <c r="AM140" s="99"/>
      <c r="AN140" s="99"/>
      <c r="AO140" s="99"/>
      <c r="AP140" s="99"/>
      <c r="AQ140" s="99"/>
      <c r="AR140" s="99"/>
      <c r="AS140" s="99"/>
      <c r="AT140" s="99"/>
      <c r="AU140" s="99"/>
    </row>
    <row r="141" spans="1:47" s="74" customFormat="1" x14ac:dyDescent="0.3">
      <c r="A141" s="99"/>
      <c r="B141" s="99"/>
      <c r="C141" s="100"/>
      <c r="D141" s="100"/>
      <c r="E141" s="101"/>
      <c r="F141" s="102"/>
      <c r="G141" s="99"/>
      <c r="H141" s="99"/>
      <c r="I141" s="99"/>
      <c r="J141" s="99"/>
      <c r="K141" s="99"/>
      <c r="L141" s="99"/>
      <c r="M141" s="99"/>
      <c r="N141" s="99"/>
      <c r="O141" s="99"/>
      <c r="P141" s="99"/>
      <c r="Q141" s="99"/>
      <c r="R141" s="99"/>
      <c r="S141" s="99"/>
      <c r="T141" s="99"/>
      <c r="U141" s="99"/>
      <c r="V141" s="99"/>
      <c r="W141" s="99"/>
      <c r="X141" s="99"/>
      <c r="Y141" s="99"/>
      <c r="Z141" s="99"/>
      <c r="AA141" s="99"/>
      <c r="AB141" s="99"/>
      <c r="AC141" s="99"/>
      <c r="AD141" s="99"/>
      <c r="AE141" s="99"/>
      <c r="AF141" s="99"/>
      <c r="AG141" s="99"/>
      <c r="AH141" s="99"/>
      <c r="AI141" s="99"/>
      <c r="AJ141" s="99"/>
      <c r="AK141" s="99"/>
      <c r="AL141" s="99"/>
      <c r="AM141" s="99"/>
      <c r="AN141" s="99"/>
      <c r="AO141" s="99"/>
      <c r="AP141" s="99"/>
      <c r="AQ141" s="99"/>
      <c r="AR141" s="99"/>
      <c r="AS141" s="99"/>
      <c r="AT141" s="99"/>
      <c r="AU141" s="99"/>
    </row>
    <row r="142" spans="1:47" s="74" customFormat="1" x14ac:dyDescent="0.3">
      <c r="A142" s="99"/>
      <c r="B142" s="99"/>
      <c r="C142" s="100"/>
      <c r="D142" s="100"/>
      <c r="E142" s="101"/>
      <c r="F142" s="102"/>
      <c r="G142" s="99"/>
      <c r="H142" s="99"/>
      <c r="I142" s="99"/>
      <c r="J142" s="99"/>
      <c r="K142" s="99"/>
      <c r="L142" s="99"/>
      <c r="M142" s="99"/>
      <c r="N142" s="99"/>
      <c r="O142" s="99"/>
      <c r="P142" s="99"/>
      <c r="Q142" s="99"/>
      <c r="R142" s="99"/>
      <c r="S142" s="99"/>
      <c r="T142" s="99"/>
      <c r="U142" s="99"/>
      <c r="V142" s="99"/>
      <c r="W142" s="99"/>
      <c r="X142" s="99"/>
      <c r="Y142" s="99"/>
      <c r="Z142" s="99"/>
      <c r="AA142" s="99"/>
      <c r="AB142" s="99"/>
      <c r="AC142" s="99"/>
      <c r="AD142" s="99"/>
      <c r="AE142" s="99"/>
      <c r="AF142" s="99"/>
      <c r="AG142" s="99"/>
      <c r="AH142" s="99"/>
      <c r="AI142" s="99"/>
      <c r="AJ142" s="99"/>
      <c r="AK142" s="99"/>
      <c r="AL142" s="99"/>
      <c r="AM142" s="99"/>
      <c r="AN142" s="99"/>
      <c r="AO142" s="99"/>
      <c r="AP142" s="99"/>
      <c r="AQ142" s="99"/>
      <c r="AR142" s="99"/>
      <c r="AS142" s="99"/>
      <c r="AT142" s="99"/>
      <c r="AU142" s="99"/>
    </row>
    <row r="143" spans="1:47" s="74" customFormat="1" x14ac:dyDescent="0.3">
      <c r="A143" s="99"/>
      <c r="B143" s="99"/>
      <c r="C143" s="100"/>
      <c r="D143" s="100"/>
      <c r="E143" s="101"/>
      <c r="F143" s="102"/>
      <c r="G143" s="99"/>
      <c r="H143" s="99"/>
      <c r="I143" s="99"/>
      <c r="J143" s="99"/>
      <c r="K143" s="99"/>
      <c r="L143" s="99"/>
      <c r="M143" s="99"/>
      <c r="N143" s="99"/>
      <c r="O143" s="99"/>
      <c r="P143" s="99"/>
      <c r="Q143" s="99"/>
      <c r="R143" s="99"/>
      <c r="S143" s="99"/>
      <c r="T143" s="99"/>
      <c r="U143" s="99"/>
      <c r="V143" s="99"/>
      <c r="W143" s="99"/>
      <c r="X143" s="99"/>
      <c r="Y143" s="99"/>
      <c r="Z143" s="99"/>
      <c r="AA143" s="99"/>
      <c r="AB143" s="99"/>
      <c r="AC143" s="99"/>
      <c r="AD143" s="99"/>
      <c r="AE143" s="99"/>
      <c r="AF143" s="99"/>
      <c r="AG143" s="99"/>
      <c r="AH143" s="99"/>
      <c r="AI143" s="99"/>
      <c r="AJ143" s="99"/>
      <c r="AK143" s="99"/>
      <c r="AL143" s="99"/>
      <c r="AM143" s="99"/>
      <c r="AN143" s="99"/>
      <c r="AO143" s="99"/>
      <c r="AP143" s="99"/>
      <c r="AQ143" s="99"/>
      <c r="AR143" s="99"/>
      <c r="AS143" s="99"/>
      <c r="AT143" s="99"/>
      <c r="AU143" s="99"/>
    </row>
    <row r="144" spans="1:47" s="74" customFormat="1" x14ac:dyDescent="0.3">
      <c r="A144" s="99"/>
      <c r="B144" s="99"/>
      <c r="C144" s="100"/>
      <c r="D144" s="100"/>
      <c r="E144" s="101"/>
      <c r="F144" s="102"/>
      <c r="G144" s="99"/>
      <c r="H144" s="99"/>
      <c r="I144" s="99"/>
      <c r="J144" s="99"/>
      <c r="K144" s="99"/>
      <c r="L144" s="99"/>
      <c r="M144" s="99"/>
      <c r="N144" s="99"/>
      <c r="O144" s="99"/>
      <c r="P144" s="99"/>
      <c r="Q144" s="99"/>
      <c r="R144" s="99"/>
      <c r="S144" s="99"/>
      <c r="T144" s="99"/>
      <c r="U144" s="99"/>
      <c r="V144" s="99"/>
      <c r="W144" s="99"/>
      <c r="X144" s="99"/>
      <c r="Y144" s="99"/>
      <c r="Z144" s="99"/>
      <c r="AA144" s="99"/>
      <c r="AB144" s="99"/>
      <c r="AC144" s="99"/>
      <c r="AD144" s="99"/>
      <c r="AE144" s="99"/>
      <c r="AF144" s="99"/>
      <c r="AG144" s="99"/>
      <c r="AH144" s="99"/>
      <c r="AI144" s="99"/>
      <c r="AJ144" s="99"/>
      <c r="AK144" s="99"/>
      <c r="AL144" s="99"/>
      <c r="AM144" s="99"/>
      <c r="AN144" s="99"/>
      <c r="AO144" s="99"/>
      <c r="AP144" s="99"/>
      <c r="AQ144" s="99"/>
      <c r="AR144" s="99"/>
      <c r="AS144" s="99"/>
      <c r="AT144" s="99"/>
      <c r="AU144" s="99"/>
    </row>
    <row r="145" spans="2:47" x14ac:dyDescent="0.3">
      <c r="B145" s="43"/>
      <c r="C145" s="44"/>
      <c r="D145" s="44"/>
      <c r="E145" s="45"/>
      <c r="F145" s="46"/>
      <c r="H145" s="43"/>
      <c r="I145" s="43"/>
      <c r="J145" s="43"/>
      <c r="K145" s="43"/>
      <c r="L145" s="43"/>
      <c r="M145" s="99"/>
      <c r="N145" s="99"/>
      <c r="O145" s="99"/>
      <c r="P145" s="99"/>
      <c r="Q145" s="99"/>
      <c r="R145" s="99"/>
      <c r="S145" s="99"/>
      <c r="T145" s="99"/>
      <c r="U145" s="99"/>
      <c r="V145" s="99"/>
      <c r="W145" s="99"/>
      <c r="X145" s="99"/>
      <c r="Y145" s="99"/>
      <c r="Z145" s="99"/>
      <c r="AA145" s="99"/>
      <c r="AB145" s="99"/>
      <c r="AC145" s="99"/>
      <c r="AD145" s="99"/>
      <c r="AE145" s="99"/>
      <c r="AF145" s="99"/>
      <c r="AG145" s="99"/>
      <c r="AH145" s="99"/>
      <c r="AI145" s="99"/>
      <c r="AJ145" s="99"/>
      <c r="AK145" s="99"/>
      <c r="AL145" s="99"/>
      <c r="AM145" s="99"/>
      <c r="AN145" s="99"/>
      <c r="AO145" s="99"/>
      <c r="AP145" s="99"/>
      <c r="AQ145" s="99"/>
      <c r="AR145" s="99"/>
      <c r="AS145" s="99"/>
      <c r="AT145" s="99"/>
      <c r="AU145" s="99"/>
    </row>
    <row r="146" spans="2:47" x14ac:dyDescent="0.3">
      <c r="B146" s="43"/>
      <c r="C146" s="44"/>
      <c r="D146" s="44"/>
      <c r="E146" s="45"/>
      <c r="F146" s="46"/>
      <c r="H146" s="43"/>
      <c r="I146" s="43"/>
      <c r="J146" s="43"/>
      <c r="K146" s="43"/>
      <c r="L146" s="43"/>
      <c r="M146" s="99"/>
      <c r="N146" s="99"/>
      <c r="O146" s="99"/>
      <c r="P146" s="99"/>
      <c r="Q146" s="99"/>
      <c r="R146" s="99"/>
      <c r="S146" s="99"/>
      <c r="T146" s="99"/>
      <c r="U146" s="99"/>
      <c r="V146" s="99"/>
      <c r="W146" s="99"/>
      <c r="X146" s="99"/>
      <c r="Y146" s="99"/>
      <c r="Z146" s="99"/>
      <c r="AA146" s="99"/>
      <c r="AB146" s="99"/>
      <c r="AC146" s="99"/>
      <c r="AD146" s="99"/>
      <c r="AE146" s="99"/>
      <c r="AF146" s="99"/>
      <c r="AG146" s="99"/>
      <c r="AH146" s="99"/>
      <c r="AI146" s="99"/>
      <c r="AJ146" s="99"/>
      <c r="AK146" s="99"/>
      <c r="AL146" s="99"/>
      <c r="AM146" s="99"/>
      <c r="AN146" s="99"/>
      <c r="AO146" s="99"/>
      <c r="AP146" s="99"/>
      <c r="AQ146" s="99"/>
      <c r="AR146" s="99"/>
      <c r="AS146" s="99"/>
      <c r="AT146" s="99"/>
      <c r="AU146" s="99"/>
    </row>
    <row r="147" spans="2:47" x14ac:dyDescent="0.3">
      <c r="B147" s="43"/>
      <c r="C147" s="44"/>
      <c r="D147" s="44"/>
      <c r="E147" s="45"/>
      <c r="F147" s="46"/>
      <c r="H147" s="43"/>
      <c r="I147" s="43"/>
      <c r="J147" s="43"/>
      <c r="K147" s="43"/>
      <c r="L147" s="43"/>
      <c r="M147" s="99"/>
      <c r="N147" s="99"/>
      <c r="O147" s="99"/>
      <c r="P147" s="99"/>
      <c r="Q147" s="99"/>
      <c r="R147" s="99"/>
      <c r="S147" s="99"/>
      <c r="T147" s="99"/>
      <c r="U147" s="99"/>
      <c r="V147" s="99"/>
      <c r="W147" s="99"/>
      <c r="X147" s="99"/>
      <c r="Y147" s="99"/>
      <c r="Z147" s="99"/>
      <c r="AA147" s="99"/>
      <c r="AB147" s="99"/>
      <c r="AC147" s="99"/>
      <c r="AD147" s="99"/>
      <c r="AE147" s="99"/>
      <c r="AF147" s="99"/>
      <c r="AG147" s="99"/>
      <c r="AH147" s="99"/>
      <c r="AI147" s="99"/>
      <c r="AJ147" s="99"/>
      <c r="AK147" s="99"/>
      <c r="AL147" s="99"/>
      <c r="AM147" s="99"/>
      <c r="AN147" s="99"/>
      <c r="AO147" s="99"/>
      <c r="AP147" s="99"/>
      <c r="AQ147" s="99"/>
      <c r="AR147" s="99"/>
      <c r="AS147" s="99"/>
      <c r="AT147" s="99"/>
      <c r="AU147" s="99"/>
    </row>
    <row r="148" spans="2:47" x14ac:dyDescent="0.3">
      <c r="B148" s="43"/>
      <c r="C148" s="44"/>
      <c r="D148" s="44"/>
      <c r="E148" s="45"/>
      <c r="F148" s="46"/>
      <c r="H148" s="43"/>
      <c r="I148" s="43"/>
      <c r="J148" s="43"/>
      <c r="K148" s="43"/>
      <c r="L148" s="43"/>
      <c r="M148" s="99"/>
      <c r="N148" s="99"/>
      <c r="O148" s="99"/>
      <c r="P148" s="99"/>
      <c r="Q148" s="99"/>
      <c r="R148" s="99"/>
      <c r="S148" s="99"/>
      <c r="T148" s="99"/>
      <c r="U148" s="99"/>
      <c r="V148" s="99"/>
      <c r="W148" s="99"/>
      <c r="X148" s="99"/>
      <c r="Y148" s="99"/>
      <c r="Z148" s="99"/>
      <c r="AA148" s="99"/>
      <c r="AB148" s="99"/>
      <c r="AC148" s="99"/>
      <c r="AD148" s="99"/>
      <c r="AE148" s="99"/>
      <c r="AF148" s="99"/>
      <c r="AG148" s="99"/>
      <c r="AH148" s="99"/>
      <c r="AI148" s="99"/>
      <c r="AJ148" s="99"/>
      <c r="AK148" s="99"/>
      <c r="AL148" s="99"/>
      <c r="AM148" s="99"/>
      <c r="AN148" s="99"/>
      <c r="AO148" s="99"/>
      <c r="AP148" s="99"/>
      <c r="AQ148" s="99"/>
      <c r="AR148" s="99"/>
      <c r="AS148" s="99"/>
      <c r="AT148" s="99"/>
      <c r="AU148" s="99"/>
    </row>
    <row r="149" spans="2:47" x14ac:dyDescent="0.3">
      <c r="B149" s="43"/>
      <c r="C149" s="44"/>
      <c r="D149" s="44"/>
      <c r="E149" s="45"/>
      <c r="F149" s="46"/>
      <c r="H149" s="43"/>
      <c r="I149" s="43"/>
      <c r="J149" s="43"/>
      <c r="K149" s="43"/>
      <c r="L149" s="43"/>
      <c r="M149" s="99"/>
      <c r="N149" s="99"/>
      <c r="O149" s="99"/>
      <c r="P149" s="99"/>
      <c r="Q149" s="99"/>
      <c r="R149" s="99"/>
      <c r="S149" s="99"/>
      <c r="T149" s="99"/>
      <c r="U149" s="99"/>
      <c r="V149" s="99"/>
      <c r="W149" s="99"/>
      <c r="X149" s="99"/>
      <c r="Y149" s="99"/>
      <c r="Z149" s="99"/>
      <c r="AA149" s="99"/>
      <c r="AB149" s="99"/>
      <c r="AC149" s="99"/>
      <c r="AD149" s="99"/>
      <c r="AE149" s="99"/>
      <c r="AF149" s="99"/>
      <c r="AG149" s="99"/>
      <c r="AH149" s="99"/>
      <c r="AI149" s="99"/>
      <c r="AJ149" s="99"/>
      <c r="AK149" s="99"/>
      <c r="AL149" s="99"/>
      <c r="AM149" s="99"/>
      <c r="AN149" s="99"/>
      <c r="AO149" s="99"/>
      <c r="AP149" s="99"/>
      <c r="AQ149" s="99"/>
      <c r="AR149" s="99"/>
      <c r="AS149" s="99"/>
      <c r="AT149" s="99"/>
      <c r="AU149" s="99"/>
    </row>
    <row r="150" spans="2:47" x14ac:dyDescent="0.3">
      <c r="B150" s="43"/>
      <c r="C150" s="44"/>
      <c r="D150" s="44"/>
      <c r="E150" s="45"/>
      <c r="F150" s="46"/>
      <c r="H150" s="43"/>
      <c r="I150" s="43"/>
      <c r="J150" s="43"/>
      <c r="K150" s="43"/>
      <c r="L150" s="43"/>
      <c r="M150" s="99"/>
      <c r="N150" s="99"/>
      <c r="O150" s="99"/>
      <c r="P150" s="99"/>
      <c r="Q150" s="99"/>
      <c r="R150" s="99"/>
      <c r="S150" s="99"/>
      <c r="T150" s="99"/>
      <c r="U150" s="99"/>
      <c r="V150" s="99"/>
      <c r="W150" s="99"/>
      <c r="X150" s="99"/>
      <c r="Y150" s="99"/>
      <c r="Z150" s="99"/>
      <c r="AA150" s="99"/>
      <c r="AB150" s="99"/>
      <c r="AC150" s="99"/>
      <c r="AD150" s="99"/>
      <c r="AE150" s="99"/>
      <c r="AF150" s="99"/>
      <c r="AG150" s="99"/>
      <c r="AH150" s="99"/>
      <c r="AI150" s="99"/>
      <c r="AJ150" s="99"/>
      <c r="AK150" s="99"/>
      <c r="AL150" s="99"/>
      <c r="AM150" s="99"/>
      <c r="AN150" s="99"/>
      <c r="AO150" s="99"/>
      <c r="AP150" s="99"/>
      <c r="AQ150" s="99"/>
      <c r="AR150" s="99"/>
      <c r="AS150" s="99"/>
      <c r="AT150" s="99"/>
      <c r="AU150" s="99"/>
    </row>
  </sheetData>
  <sheetProtection selectLockedCells="1"/>
  <mergeCells count="10">
    <mergeCell ref="B130:F130"/>
    <mergeCell ref="B131:C131"/>
    <mergeCell ref="B3:F3"/>
    <mergeCell ref="H3:L3"/>
    <mergeCell ref="H4:I4"/>
    <mergeCell ref="B20:F20"/>
    <mergeCell ref="B21:C21"/>
    <mergeCell ref="H20:L20"/>
    <mergeCell ref="H21:I21"/>
    <mergeCell ref="B4:C4"/>
  </mergeCells>
  <conditionalFormatting sqref="E5:E11">
    <cfRule type="cellIs" dxfId="277" priority="28" operator="greaterThanOrEqual">
      <formula>0.9</formula>
    </cfRule>
    <cfRule type="cellIs" dxfId="276" priority="29" operator="between">
      <formula>0.5</formula>
      <formula>0.899999</formula>
    </cfRule>
    <cfRule type="cellIs" dxfId="275" priority="30" operator="between">
      <formula>0.00001</formula>
      <formula>0.49999999</formula>
    </cfRule>
  </conditionalFormatting>
  <conditionalFormatting sqref="K5:K10">
    <cfRule type="cellIs" dxfId="274" priority="24" operator="greaterThanOrEqual">
      <formula>0.9</formula>
    </cfRule>
    <cfRule type="cellIs" dxfId="273" priority="25" operator="between">
      <formula>0.5</formula>
      <formula>0.8999999</formula>
    </cfRule>
    <cfRule type="cellIs" dxfId="272" priority="26" operator="between">
      <formula>0.0000001</formula>
      <formula>0.49999999</formula>
    </cfRule>
  </conditionalFormatting>
  <conditionalFormatting sqref="K5:K10">
    <cfRule type="containsErrors" dxfId="271" priority="22">
      <formula>ISERROR(K5)</formula>
    </cfRule>
  </conditionalFormatting>
  <conditionalFormatting sqref="E22:E27">
    <cfRule type="cellIs" dxfId="270" priority="18" operator="greaterThanOrEqual">
      <formula>0.9</formula>
    </cfRule>
    <cfRule type="cellIs" dxfId="269" priority="19" operator="between">
      <formula>0.5</formula>
      <formula>0.8999999</formula>
    </cfRule>
    <cfRule type="cellIs" dxfId="268" priority="20" operator="between">
      <formula>0.00001</formula>
      <formula>0.49999999</formula>
    </cfRule>
    <cfRule type="containsErrors" dxfId="267" priority="21">
      <formula>ISERROR(E22)</formula>
    </cfRule>
  </conditionalFormatting>
  <conditionalFormatting sqref="K22:K27">
    <cfRule type="cellIs" dxfId="266" priority="14" operator="greaterThanOrEqual">
      <formula>0.9</formula>
    </cfRule>
    <cfRule type="cellIs" dxfId="265" priority="15" operator="between">
      <formula>0.5</formula>
      <formula>0.89999999</formula>
    </cfRule>
    <cfRule type="cellIs" dxfId="264" priority="16" operator="between">
      <formula>0.0000001</formula>
      <formula>0.4999999</formula>
    </cfRule>
    <cfRule type="containsErrors" dxfId="263" priority="17">
      <formula>ISERROR(K22)</formula>
    </cfRule>
  </conditionalFormatting>
  <conditionalFormatting sqref="E5:E11">
    <cfRule type="containsErrors" dxfId="262" priority="13">
      <formula>ISERROR(E5)</formula>
    </cfRule>
  </conditionalFormatting>
  <conditionalFormatting sqref="K28">
    <cfRule type="containsErrors" dxfId="261" priority="1">
      <formula>ISERROR(K28)</formula>
    </cfRule>
  </conditionalFormatting>
  <conditionalFormatting sqref="K11">
    <cfRule type="cellIs" dxfId="260" priority="10" operator="greaterThanOrEqual">
      <formula>0.9</formula>
    </cfRule>
    <cfRule type="cellIs" dxfId="259" priority="11" operator="between">
      <formula>0.5</formula>
      <formula>0.899999</formula>
    </cfRule>
    <cfRule type="cellIs" dxfId="258" priority="12" operator="between">
      <formula>0.00001</formula>
      <formula>0.49999999</formula>
    </cfRule>
  </conditionalFormatting>
  <conditionalFormatting sqref="K11">
    <cfRule type="containsErrors" dxfId="257" priority="9">
      <formula>ISERROR(K11)</formula>
    </cfRule>
  </conditionalFormatting>
  <conditionalFormatting sqref="E28">
    <cfRule type="cellIs" dxfId="256" priority="6" operator="greaterThanOrEqual">
      <formula>0.9</formula>
    </cfRule>
    <cfRule type="cellIs" dxfId="255" priority="7" operator="between">
      <formula>0.5</formula>
      <formula>0.899999</formula>
    </cfRule>
    <cfRule type="cellIs" dxfId="254" priority="8" operator="between">
      <formula>0.00001</formula>
      <formula>0.49999999</formula>
    </cfRule>
  </conditionalFormatting>
  <conditionalFormatting sqref="E28">
    <cfRule type="containsErrors" dxfId="253" priority="5">
      <formula>ISERROR(E28)</formula>
    </cfRule>
  </conditionalFormatting>
  <conditionalFormatting sqref="K28">
    <cfRule type="cellIs" dxfId="252" priority="2" operator="greaterThanOrEqual">
      <formula>0.9</formula>
    </cfRule>
    <cfRule type="cellIs" dxfId="251" priority="3" operator="between">
      <formula>0.5</formula>
      <formula>0.899999</formula>
    </cfRule>
    <cfRule type="cellIs" dxfId="250" priority="4" operator="between">
      <formula>0.00001</formula>
      <formula>0.49999999</formula>
    </cfRule>
  </conditionalFormatting>
  <pageMargins left="0.7" right="0.7" top="0.75" bottom="0.75" header="0.3" footer="0.3"/>
  <pageSetup scale="21" fitToHeight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CAAE5-94F3-4A19-9303-DD043369570F}">
  <sheetPr codeName="Feuil18">
    <tabColor theme="4"/>
  </sheetPr>
  <dimension ref="T6"/>
  <sheetViews>
    <sheetView showGridLines="0" showRowColHeaders="0" tabSelected="1" zoomScaleNormal="100" workbookViewId="0">
      <selection activeCell="O16" sqref="O16"/>
    </sheetView>
  </sheetViews>
  <sheetFormatPr baseColWidth="10" defaultColWidth="11.42578125" defaultRowHeight="15" x14ac:dyDescent="0.25"/>
  <cols>
    <col min="1" max="3" width="11.42578125" style="67" customWidth="1"/>
    <col min="4" max="16384" width="11.42578125" style="67"/>
  </cols>
  <sheetData>
    <row r="6" spans="20:20" x14ac:dyDescent="0.25">
      <c r="T6" s="68">
        <v>2020</v>
      </c>
    </row>
  </sheetData>
  <sheetProtection selectLockedCells="1"/>
  <pageMargins left="0.7" right="0.7" top="0.75" bottom="0.75" header="0.3" footer="0.3"/>
  <pageSetup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CBE73-8EF8-4818-99AD-89EFD8671CB4}">
  <sheetPr codeName="Feuil16">
    <tabColor theme="9"/>
    <pageSetUpPr fitToPage="1"/>
  </sheetPr>
  <dimension ref="A1:AL602"/>
  <sheetViews>
    <sheetView showGridLines="0" zoomScaleNormal="100" workbookViewId="0">
      <selection activeCell="V5" sqref="V5:V6"/>
    </sheetView>
  </sheetViews>
  <sheetFormatPr baseColWidth="10" defaultColWidth="11.42578125" defaultRowHeight="15" x14ac:dyDescent="0.25"/>
  <cols>
    <col min="1" max="1" width="2.7109375" style="69" customWidth="1"/>
    <col min="2" max="2" width="23.5703125" style="3" customWidth="1"/>
    <col min="3" max="3" width="22.42578125" style="4" hidden="1" customWidth="1"/>
    <col min="4" max="4" width="25.140625" style="4" hidden="1" customWidth="1"/>
    <col min="5" max="5" width="15" style="3" customWidth="1"/>
    <col min="6" max="6" width="12.42578125" style="3" hidden="1" customWidth="1"/>
    <col min="7" max="7" width="6" style="3" customWidth="1"/>
    <col min="8" max="8" width="10.7109375" style="3" customWidth="1"/>
    <col min="9" max="21" width="7.85546875" style="3" customWidth="1"/>
    <col min="22" max="22" width="32.28515625" style="1" customWidth="1"/>
    <col min="23" max="23" width="4.140625" style="69" customWidth="1"/>
    <col min="24" max="25" width="11.42578125" style="69"/>
    <col min="26" max="27" width="11.42578125" style="73"/>
    <col min="28" max="35" width="11.42578125" style="69"/>
    <col min="36" max="36" width="11.42578125" style="72"/>
    <col min="37" max="16384" width="11.42578125" style="3"/>
  </cols>
  <sheetData>
    <row r="1" spans="1:38" s="69" customFormat="1" ht="3" customHeight="1" x14ac:dyDescent="0.25">
      <c r="A1" s="75"/>
      <c r="B1" s="75"/>
      <c r="C1" s="76"/>
      <c r="D1" s="76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7"/>
      <c r="W1" s="75"/>
      <c r="X1" s="75"/>
      <c r="Y1" s="75"/>
      <c r="Z1" s="96"/>
      <c r="AA1" s="96">
        <v>4569</v>
      </c>
      <c r="AB1" s="75"/>
      <c r="AC1" s="75"/>
      <c r="AD1" s="75"/>
      <c r="AE1" s="75"/>
      <c r="AF1" s="75"/>
      <c r="AG1" s="75"/>
      <c r="AH1" s="75"/>
      <c r="AI1" s="137"/>
      <c r="AJ1" s="79"/>
      <c r="AK1" s="75"/>
    </row>
    <row r="2" spans="1:38" ht="46.5" x14ac:dyDescent="0.25">
      <c r="A2" s="75"/>
      <c r="B2" s="160" t="s">
        <v>85</v>
      </c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161"/>
      <c r="V2" s="162"/>
      <c r="W2" s="75"/>
      <c r="X2" s="75"/>
      <c r="Y2" s="75"/>
      <c r="Z2" s="96"/>
      <c r="AA2" s="96"/>
      <c r="AB2" s="75"/>
      <c r="AC2" s="75"/>
      <c r="AD2" s="75"/>
      <c r="AE2" s="75"/>
      <c r="AF2" s="75"/>
      <c r="AG2" s="75"/>
      <c r="AH2" s="75"/>
      <c r="AI2" s="75"/>
      <c r="AJ2" s="79"/>
      <c r="AK2" s="75"/>
      <c r="AL2" s="75"/>
    </row>
    <row r="3" spans="1:38" s="69" customFormat="1" ht="3" customHeight="1" x14ac:dyDescent="0.25">
      <c r="A3" s="75"/>
      <c r="B3" s="75"/>
      <c r="C3" s="76"/>
      <c r="D3" s="76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7"/>
      <c r="W3" s="75"/>
      <c r="X3" s="75"/>
      <c r="Y3" s="75"/>
      <c r="Z3" s="96"/>
      <c r="AA3" s="96"/>
      <c r="AB3" s="75"/>
      <c r="AC3" s="75"/>
      <c r="AD3" s="75"/>
      <c r="AE3" s="75"/>
      <c r="AF3" s="75"/>
      <c r="AG3" s="75"/>
      <c r="AH3" s="75"/>
      <c r="AI3" s="75"/>
      <c r="AJ3" s="81"/>
      <c r="AK3" s="75"/>
      <c r="AL3" s="75"/>
    </row>
    <row r="4" spans="1:38" ht="46.5" customHeight="1" x14ac:dyDescent="0.25">
      <c r="A4" s="75"/>
      <c r="B4" s="75"/>
      <c r="C4" s="50"/>
      <c r="D4" s="50"/>
      <c r="E4" s="163" t="s">
        <v>124</v>
      </c>
      <c r="F4" s="164"/>
      <c r="G4" s="164"/>
      <c r="H4" s="164"/>
      <c r="I4" s="164"/>
      <c r="J4" s="164"/>
      <c r="K4" s="164"/>
      <c r="L4" s="164"/>
      <c r="M4" s="164"/>
      <c r="N4" s="164"/>
      <c r="O4" s="164"/>
      <c r="P4" s="164"/>
      <c r="Q4" s="164"/>
      <c r="R4" s="164"/>
      <c r="S4" s="164"/>
      <c r="T4" s="164"/>
      <c r="U4" s="164"/>
      <c r="V4" s="165"/>
      <c r="W4" s="75"/>
      <c r="X4" s="75"/>
      <c r="Y4" s="75"/>
      <c r="Z4" s="96"/>
      <c r="AA4" s="96"/>
      <c r="AB4" s="75"/>
      <c r="AC4" s="75"/>
      <c r="AD4" s="75"/>
      <c r="AE4" s="75"/>
      <c r="AF4" s="75"/>
      <c r="AG4" s="75"/>
      <c r="AH4" s="75"/>
      <c r="AI4" s="75"/>
      <c r="AJ4" s="81"/>
      <c r="AK4" s="75"/>
      <c r="AL4" s="75"/>
    </row>
    <row r="5" spans="1:38" ht="30.75" customHeight="1" x14ac:dyDescent="0.25">
      <c r="A5" s="75"/>
      <c r="B5" s="75"/>
      <c r="C5" s="50"/>
      <c r="D5" s="50"/>
      <c r="E5" s="166" t="s">
        <v>3</v>
      </c>
      <c r="F5" s="167"/>
      <c r="G5" s="168"/>
      <c r="H5" s="147">
        <v>10</v>
      </c>
      <c r="I5" s="172">
        <v>10</v>
      </c>
      <c r="J5" s="173"/>
      <c r="K5" s="172">
        <v>10</v>
      </c>
      <c r="L5" s="173"/>
      <c r="M5" s="151">
        <v>10</v>
      </c>
      <c r="N5" s="151">
        <v>10</v>
      </c>
      <c r="O5" s="172">
        <v>10</v>
      </c>
      <c r="P5" s="173"/>
      <c r="Q5" s="172">
        <v>10</v>
      </c>
      <c r="R5" s="183"/>
      <c r="S5" s="183"/>
      <c r="T5" s="183"/>
      <c r="U5" s="173"/>
      <c r="V5" s="184">
        <v>1</v>
      </c>
      <c r="W5" s="81"/>
      <c r="X5" s="75"/>
      <c r="Y5" s="75"/>
      <c r="Z5" s="96"/>
      <c r="AA5" s="96"/>
      <c r="AB5" s="75"/>
      <c r="AC5" s="75"/>
      <c r="AD5" s="75"/>
      <c r="AE5" s="75"/>
      <c r="AF5" s="75"/>
      <c r="AG5" s="75"/>
      <c r="AH5" s="75"/>
      <c r="AI5" s="75"/>
      <c r="AJ5" s="81"/>
      <c r="AK5" s="75"/>
      <c r="AL5" s="75"/>
    </row>
    <row r="6" spans="1:38" ht="30.75" customHeight="1" x14ac:dyDescent="0.25">
      <c r="A6" s="75"/>
      <c r="B6" s="75"/>
      <c r="C6" s="50"/>
      <c r="D6" s="50"/>
      <c r="E6" s="169"/>
      <c r="F6" s="170"/>
      <c r="G6" s="171"/>
      <c r="H6" s="150" t="s">
        <v>100</v>
      </c>
      <c r="I6" s="174" t="s">
        <v>101</v>
      </c>
      <c r="J6" s="175"/>
      <c r="K6" s="176" t="s">
        <v>102</v>
      </c>
      <c r="L6" s="177"/>
      <c r="M6" s="156" t="s">
        <v>103</v>
      </c>
      <c r="N6" s="156" t="s">
        <v>104</v>
      </c>
      <c r="O6" s="178" t="s">
        <v>105</v>
      </c>
      <c r="P6" s="179"/>
      <c r="Q6" s="180" t="s">
        <v>106</v>
      </c>
      <c r="R6" s="181"/>
      <c r="S6" s="181"/>
      <c r="T6" s="181"/>
      <c r="U6" s="182"/>
      <c r="V6" s="185"/>
      <c r="W6" s="81"/>
      <c r="X6" s="75"/>
      <c r="Y6" s="75"/>
      <c r="Z6" s="96"/>
      <c r="AA6" s="96"/>
      <c r="AB6" s="75"/>
      <c r="AC6" s="75"/>
      <c r="AD6" s="75"/>
      <c r="AE6" s="75"/>
      <c r="AF6" s="75"/>
      <c r="AG6" s="75"/>
      <c r="AH6" s="75"/>
      <c r="AI6" s="75"/>
      <c r="AJ6" s="81"/>
      <c r="AK6" s="75"/>
      <c r="AL6" s="75"/>
    </row>
    <row r="7" spans="1:38" s="1" customFormat="1" ht="87" customHeight="1" x14ac:dyDescent="0.25">
      <c r="A7" s="77"/>
      <c r="B7" s="138"/>
      <c r="C7" s="32" t="s">
        <v>10</v>
      </c>
      <c r="D7" s="33" t="s">
        <v>82</v>
      </c>
      <c r="E7" s="86" t="s">
        <v>11</v>
      </c>
      <c r="F7" s="34" t="s">
        <v>12</v>
      </c>
      <c r="G7" s="86" t="s">
        <v>13</v>
      </c>
      <c r="H7" s="146" t="s">
        <v>107</v>
      </c>
      <c r="I7" s="145" t="s">
        <v>108</v>
      </c>
      <c r="J7" s="145" t="s">
        <v>109</v>
      </c>
      <c r="K7" s="139" t="s">
        <v>110</v>
      </c>
      <c r="L7" s="139" t="s">
        <v>111</v>
      </c>
      <c r="M7" s="144" t="s">
        <v>112</v>
      </c>
      <c r="N7" s="144" t="s">
        <v>113</v>
      </c>
      <c r="O7" s="140" t="s">
        <v>114</v>
      </c>
      <c r="P7" s="141" t="s">
        <v>115</v>
      </c>
      <c r="Q7" s="142" t="s">
        <v>116</v>
      </c>
      <c r="R7" s="142" t="s">
        <v>117</v>
      </c>
      <c r="S7" s="142" t="s">
        <v>118</v>
      </c>
      <c r="T7" s="142" t="s">
        <v>119</v>
      </c>
      <c r="U7" s="142" t="s">
        <v>120</v>
      </c>
      <c r="V7" s="86" t="s">
        <v>15</v>
      </c>
      <c r="W7" s="77"/>
      <c r="X7" s="77"/>
      <c r="Y7" s="77"/>
      <c r="Z7" s="97"/>
      <c r="AA7" s="97"/>
      <c r="AB7" s="77"/>
      <c r="AC7" s="77"/>
      <c r="AD7" s="77"/>
      <c r="AE7" s="77"/>
      <c r="AF7" s="77"/>
      <c r="AG7" s="77"/>
      <c r="AH7" s="77"/>
      <c r="AI7" s="77"/>
      <c r="AJ7" s="94"/>
      <c r="AK7" s="77"/>
      <c r="AL7" s="77"/>
    </row>
    <row r="8" spans="1:38" x14ac:dyDescent="0.25">
      <c r="A8" s="75"/>
      <c r="B8" s="75"/>
      <c r="C8" s="35">
        <f>INDEX(Données!$F$2:$L$54,MATCH(F8,Données!$F$2:$F$54,0),2)</f>
        <v>43829</v>
      </c>
      <c r="D8" s="28" t="str">
        <f t="shared" ref="D8:D71" si="0">$E$4</f>
        <v>#1</v>
      </c>
      <c r="E8" s="5">
        <f>Données!G2</f>
        <v>43829</v>
      </c>
      <c r="F8" s="10" t="str">
        <f>INDEX(Données!$F$2:$L$54,MATCH('#1'!E8,Données!$G$2:$G$54,1),1)</f>
        <v>1</v>
      </c>
      <c r="G8" s="18" t="str">
        <f t="shared" ref="G8:G71" si="1">IF(AND($V$5=1),"PS-1",IF(AND($V$5=2),"PS-2",IF(AND($V$5=4),"PS-4",IF(AND($V$5=6),"S.O.",IF(AND($V$5=5),"")))))</f>
        <v>PS-1</v>
      </c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9"/>
      <c r="W8" s="75"/>
      <c r="X8" s="75"/>
      <c r="Y8" s="75"/>
      <c r="Z8" s="96">
        <f>SUM(Tableau13[[#This Row],[A-1]:[G-5]])</f>
        <v>0</v>
      </c>
      <c r="AA8" s="96" t="str">
        <f>IF(AND(Z8&gt;0,Tableau13[[#This Row],[CDS]]=""),"Oui","Non")</f>
        <v>Non</v>
      </c>
      <c r="AB8" s="75"/>
      <c r="AC8" s="75"/>
      <c r="AD8" s="75"/>
      <c r="AE8" s="75"/>
      <c r="AF8" s="75"/>
      <c r="AG8" s="75"/>
      <c r="AH8" s="75"/>
      <c r="AI8" s="75"/>
      <c r="AJ8" s="81"/>
      <c r="AK8" s="75"/>
      <c r="AL8" s="75"/>
    </row>
    <row r="9" spans="1:38" x14ac:dyDescent="0.25">
      <c r="A9" s="75"/>
      <c r="B9" s="75"/>
      <c r="C9" s="35">
        <f>INDEX(Données!$F$2:$L$54,MATCH(F9,Données!$F$2:$F$54,0),2)</f>
        <v>43829</v>
      </c>
      <c r="D9" s="29" t="str">
        <f t="shared" si="0"/>
        <v>#1</v>
      </c>
      <c r="E9" s="7">
        <f>Données!H2</f>
        <v>43830</v>
      </c>
      <c r="F9" s="6" t="str">
        <f>INDEX(Données!$F$2:$L$54,MATCH('#1'!E9,Données!$G$2:$G$54,1),1)</f>
        <v>1</v>
      </c>
      <c r="G9" s="18" t="str">
        <f t="shared" si="1"/>
        <v>PS-1</v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1"/>
      <c r="W9" s="75"/>
      <c r="X9" s="75"/>
      <c r="Y9" s="75"/>
      <c r="Z9" s="96">
        <f>SUM(Tableau13[[#This Row],[A-1]:[G-5]])</f>
        <v>0</v>
      </c>
      <c r="AA9" s="96" t="str">
        <f>IF(AND(Z9&gt;0,Tableau13[[#This Row],[CDS]]=""),"Oui","Non")</f>
        <v>Non</v>
      </c>
      <c r="AB9" s="75"/>
      <c r="AC9" s="75"/>
      <c r="AD9" s="75"/>
      <c r="AE9" s="75"/>
      <c r="AF9" s="75"/>
      <c r="AG9" s="75"/>
      <c r="AH9" s="75"/>
      <c r="AI9" s="75"/>
      <c r="AJ9" s="81"/>
      <c r="AK9" s="75"/>
      <c r="AL9" s="75"/>
    </row>
    <row r="10" spans="1:38" x14ac:dyDescent="0.25">
      <c r="A10" s="75"/>
      <c r="B10" s="75"/>
      <c r="C10" s="35">
        <f>INDEX(Données!$F$2:$L$54,MATCH(F10,Données!$F$2:$F$54,0),2)</f>
        <v>43829</v>
      </c>
      <c r="D10" s="29" t="str">
        <f t="shared" si="0"/>
        <v>#1</v>
      </c>
      <c r="E10" s="7">
        <f>Données!I2</f>
        <v>43831</v>
      </c>
      <c r="F10" s="6" t="str">
        <f>INDEX(Données!$F$2:$L$54,MATCH('#1'!E10,Données!$G$2:$G$54,1),1)</f>
        <v>1</v>
      </c>
      <c r="G10" s="18" t="str">
        <f t="shared" si="1"/>
        <v>PS-1</v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1"/>
      <c r="W10" s="75"/>
      <c r="X10" s="75"/>
      <c r="Y10" s="75"/>
      <c r="Z10" s="96">
        <f>SUM(Tableau13[[#This Row],[A-1]:[G-5]])</f>
        <v>0</v>
      </c>
      <c r="AA10" s="96" t="str">
        <f>IF(AND(Z10&gt;0,Tableau13[[#This Row],[CDS]]=""),"Oui","Non")</f>
        <v>Non</v>
      </c>
      <c r="AB10" s="75"/>
      <c r="AC10" s="75"/>
      <c r="AD10" s="75"/>
      <c r="AE10" s="75"/>
      <c r="AF10" s="75"/>
      <c r="AG10" s="75"/>
      <c r="AH10" s="75"/>
      <c r="AI10" s="75"/>
      <c r="AJ10" s="81"/>
      <c r="AK10" s="75"/>
      <c r="AL10" s="75"/>
    </row>
    <row r="11" spans="1:38" x14ac:dyDescent="0.25">
      <c r="A11" s="75"/>
      <c r="B11" s="75"/>
      <c r="C11" s="35">
        <f>INDEX(Données!$F$2:$L$54,MATCH(F11,Données!$F$2:$F$54,0),2)</f>
        <v>43829</v>
      </c>
      <c r="D11" s="29" t="str">
        <f t="shared" si="0"/>
        <v>#1</v>
      </c>
      <c r="E11" s="7">
        <f>Données!J2</f>
        <v>43832</v>
      </c>
      <c r="F11" s="6" t="str">
        <f>INDEX(Données!$F$2:$L$54,MATCH('#1'!E11,Données!$G$2:$G$54,1),1)</f>
        <v>1</v>
      </c>
      <c r="G11" s="18" t="str">
        <f t="shared" si="1"/>
        <v>PS-1</v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1"/>
      <c r="W11" s="75"/>
      <c r="X11" s="75"/>
      <c r="Y11" s="75"/>
      <c r="Z11" s="96">
        <f>SUM(Tableau13[[#This Row],[A-1]:[G-5]])</f>
        <v>0</v>
      </c>
      <c r="AA11" s="96" t="str">
        <f>IF(AND(Z11&gt;0,Tableau13[[#This Row],[CDS]]=""),"Oui","Non")</f>
        <v>Non</v>
      </c>
      <c r="AB11" s="75"/>
      <c r="AC11" s="75"/>
      <c r="AD11" s="75"/>
      <c r="AE11" s="75"/>
      <c r="AF11" s="75"/>
      <c r="AG11" s="75"/>
      <c r="AH11" s="75"/>
      <c r="AI11" s="75"/>
      <c r="AJ11" s="81"/>
      <c r="AK11" s="75"/>
      <c r="AL11" s="75"/>
    </row>
    <row r="12" spans="1:38" x14ac:dyDescent="0.25">
      <c r="A12" s="75"/>
      <c r="B12" s="75"/>
      <c r="C12" s="35">
        <f>INDEX(Données!$F$2:$L$54,MATCH(F12,Données!$F$2:$F$54,0),2)</f>
        <v>43829</v>
      </c>
      <c r="D12" s="29" t="str">
        <f t="shared" si="0"/>
        <v>#1</v>
      </c>
      <c r="E12" s="7">
        <f>Données!K2</f>
        <v>43833</v>
      </c>
      <c r="F12" s="6" t="str">
        <f>INDEX(Données!$F$2:$L$54,MATCH('#1'!E12,Données!$G$2:$G$54,1),1)</f>
        <v>1</v>
      </c>
      <c r="G12" s="18" t="str">
        <f t="shared" si="1"/>
        <v>PS-1</v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1"/>
      <c r="W12" s="75"/>
      <c r="X12" s="75"/>
      <c r="Y12" s="75"/>
      <c r="Z12" s="96">
        <f>SUM(Tableau13[[#This Row],[A-1]:[G-5]])</f>
        <v>0</v>
      </c>
      <c r="AA12" s="96" t="str">
        <f>IF(AND(Z12&gt;0,Tableau13[[#This Row],[CDS]]=""),"Oui","Non")</f>
        <v>Non</v>
      </c>
      <c r="AB12" s="75"/>
      <c r="AC12" s="75"/>
      <c r="AD12" s="75"/>
      <c r="AE12" s="75"/>
      <c r="AF12" s="75"/>
      <c r="AG12" s="75"/>
      <c r="AH12" s="75"/>
      <c r="AI12" s="75"/>
      <c r="AJ12" s="81"/>
      <c r="AK12" s="75"/>
      <c r="AL12" s="75"/>
    </row>
    <row r="13" spans="1:38" ht="15.75" thickBot="1" x14ac:dyDescent="0.3">
      <c r="A13" s="75"/>
      <c r="B13" s="75"/>
      <c r="C13" s="35">
        <f>INDEX(Données!$F$2:$L$54,MATCH(F13,Données!$F$2:$F$54,0),2)</f>
        <v>43829</v>
      </c>
      <c r="D13" s="29" t="str">
        <f t="shared" si="0"/>
        <v>#1</v>
      </c>
      <c r="E13" s="7">
        <f>Données!L2</f>
        <v>43834</v>
      </c>
      <c r="F13" s="6" t="str">
        <f>INDEX(Données!$F$2:$L$54,MATCH('#1'!E13,Données!$G$2:$G$54,1),1)</f>
        <v>1</v>
      </c>
      <c r="G13" s="18" t="str">
        <f t="shared" si="1"/>
        <v>PS-1</v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1"/>
      <c r="W13" s="75"/>
      <c r="X13" s="75"/>
      <c r="Y13" s="75"/>
      <c r="Z13" s="96">
        <f>SUM(Tableau13[[#This Row],[A-1]:[G-5]])</f>
        <v>0</v>
      </c>
      <c r="AA13" s="96" t="str">
        <f>IF(AND(Z13&gt;0,Tableau13[[#This Row],[CDS]]=""),"Oui","Non")</f>
        <v>Non</v>
      </c>
      <c r="AB13" s="75"/>
      <c r="AC13" s="75"/>
      <c r="AD13" s="75"/>
      <c r="AE13" s="75"/>
      <c r="AF13" s="75"/>
      <c r="AG13" s="75"/>
      <c r="AH13" s="75"/>
      <c r="AI13" s="75"/>
      <c r="AJ13" s="81"/>
      <c r="AK13" s="75"/>
      <c r="AL13" s="75"/>
    </row>
    <row r="14" spans="1:38" ht="15.75" hidden="1" thickBot="1" x14ac:dyDescent="0.3">
      <c r="A14" s="75"/>
      <c r="B14" s="75"/>
      <c r="C14" s="35">
        <f>INDEX(Données!$F$2:$L$54,MATCH(F14,Données!$F$2:$F$54,0),2)</f>
        <v>43836</v>
      </c>
      <c r="D14" s="29" t="str">
        <f t="shared" si="0"/>
        <v>#1</v>
      </c>
      <c r="E14" s="7">
        <f>Données!G3</f>
        <v>43836</v>
      </c>
      <c r="F14" s="6" t="str">
        <f>INDEX(Données!$F$2:$L$54,MATCH('#1'!E14,Données!$G$2:$G$54,1),1)</f>
        <v>2</v>
      </c>
      <c r="G14" s="18" t="str">
        <f t="shared" si="1"/>
        <v>PS-1</v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1"/>
      <c r="W14" s="75"/>
      <c r="X14" s="75"/>
      <c r="Y14" s="75"/>
      <c r="Z14" s="96">
        <f>SUM(Tableau13[[#This Row],[A-1]:[G-5]])</f>
        <v>0</v>
      </c>
      <c r="AA14" s="96" t="str">
        <f>IF(AND(Z14&gt;0,Tableau13[[#This Row],[CDS]]=""),"Oui","Non")</f>
        <v>Non</v>
      </c>
      <c r="AB14" s="75"/>
      <c r="AC14" s="75"/>
      <c r="AD14" s="75"/>
      <c r="AE14" s="75"/>
      <c r="AF14" s="75"/>
      <c r="AG14" s="75"/>
      <c r="AH14" s="75"/>
      <c r="AI14" s="75"/>
      <c r="AJ14" s="81"/>
      <c r="AK14" s="75"/>
      <c r="AL14" s="75"/>
    </row>
    <row r="15" spans="1:38" ht="15.75" hidden="1" thickBot="1" x14ac:dyDescent="0.3">
      <c r="A15" s="75"/>
      <c r="B15" s="75"/>
      <c r="C15" s="35">
        <f>INDEX(Données!$F$2:$L$54,MATCH(F15,Données!$F$2:$F$54,0),2)</f>
        <v>43836</v>
      </c>
      <c r="D15" s="29" t="str">
        <f t="shared" si="0"/>
        <v>#1</v>
      </c>
      <c r="E15" s="7">
        <f>Données!H3</f>
        <v>43837</v>
      </c>
      <c r="F15" s="6" t="str">
        <f>INDEX(Données!$F$2:$L$54,MATCH('#1'!E15,Données!$G$2:$G$54,1),1)</f>
        <v>2</v>
      </c>
      <c r="G15" s="18" t="str">
        <f t="shared" si="1"/>
        <v>PS-1</v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1"/>
      <c r="W15" s="75"/>
      <c r="X15" s="75"/>
      <c r="Y15" s="75"/>
      <c r="Z15" s="96">
        <f>SUM(Tableau13[[#This Row],[A-1]:[G-5]])</f>
        <v>0</v>
      </c>
      <c r="AA15" s="96" t="str">
        <f>IF(AND(Z15&gt;0,Tableau13[[#This Row],[CDS]]=""),"Oui","Non")</f>
        <v>Non</v>
      </c>
      <c r="AB15" s="75"/>
      <c r="AC15" s="75"/>
      <c r="AD15" s="75"/>
      <c r="AE15" s="75"/>
      <c r="AF15" s="75"/>
      <c r="AG15" s="75"/>
      <c r="AH15" s="75"/>
      <c r="AI15" s="75"/>
      <c r="AJ15" s="81"/>
      <c r="AK15" s="75"/>
      <c r="AL15" s="75"/>
    </row>
    <row r="16" spans="1:38" ht="15.75" hidden="1" thickBot="1" x14ac:dyDescent="0.3">
      <c r="A16" s="75"/>
      <c r="B16" s="75"/>
      <c r="C16" s="35">
        <f>INDEX(Données!$F$2:$L$54,MATCH(F16,Données!$F$2:$F$54,0),2)</f>
        <v>43836</v>
      </c>
      <c r="D16" s="29" t="str">
        <f t="shared" si="0"/>
        <v>#1</v>
      </c>
      <c r="E16" s="7">
        <f>Données!I3</f>
        <v>43838</v>
      </c>
      <c r="F16" s="6" t="str">
        <f>INDEX(Données!$F$2:$L$54,MATCH('#1'!E16,Données!$G$2:$G$54,1),1)</f>
        <v>2</v>
      </c>
      <c r="G16" s="18" t="str">
        <f t="shared" si="1"/>
        <v>PS-1</v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1"/>
      <c r="W16" s="75"/>
      <c r="X16" s="75"/>
      <c r="Y16" s="75"/>
      <c r="Z16" s="96">
        <f>SUM(Tableau13[[#This Row],[A-1]:[G-5]])</f>
        <v>0</v>
      </c>
      <c r="AA16" s="96" t="str">
        <f>IF(AND(Z16&gt;0,Tableau13[[#This Row],[CDS]]=""),"Oui","Non")</f>
        <v>Non</v>
      </c>
      <c r="AB16" s="75"/>
      <c r="AC16" s="75"/>
      <c r="AD16" s="75"/>
      <c r="AE16" s="75"/>
      <c r="AF16" s="75"/>
      <c r="AG16" s="75"/>
      <c r="AH16" s="75"/>
      <c r="AI16" s="75"/>
      <c r="AJ16" s="81"/>
      <c r="AK16" s="75"/>
      <c r="AL16" s="75"/>
    </row>
    <row r="17" spans="1:38" ht="15.75" hidden="1" thickBot="1" x14ac:dyDescent="0.3">
      <c r="A17" s="75"/>
      <c r="B17" s="75"/>
      <c r="C17" s="35">
        <f>INDEX(Données!$F$2:$L$54,MATCH(F17,Données!$F$2:$F$54,0),2)</f>
        <v>43836</v>
      </c>
      <c r="D17" s="29" t="str">
        <f t="shared" si="0"/>
        <v>#1</v>
      </c>
      <c r="E17" s="7">
        <f>Données!J3</f>
        <v>43839</v>
      </c>
      <c r="F17" s="6" t="str">
        <f>INDEX(Données!$F$2:$L$54,MATCH('#1'!E17,Données!$G$2:$G$54,1),1)</f>
        <v>2</v>
      </c>
      <c r="G17" s="18" t="str">
        <f t="shared" si="1"/>
        <v>PS-1</v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1"/>
      <c r="W17" s="75"/>
      <c r="X17" s="75"/>
      <c r="Y17" s="75"/>
      <c r="Z17" s="96">
        <f>SUM(Tableau13[[#This Row],[A-1]:[G-5]])</f>
        <v>0</v>
      </c>
      <c r="AA17" s="96" t="str">
        <f>IF(AND(Z17&gt;0,Tableau13[[#This Row],[CDS]]=""),"Oui","Non")</f>
        <v>Non</v>
      </c>
      <c r="AB17" s="75"/>
      <c r="AC17" s="75"/>
      <c r="AD17" s="75"/>
      <c r="AE17" s="75"/>
      <c r="AF17" s="75"/>
      <c r="AG17" s="75"/>
      <c r="AH17" s="75"/>
      <c r="AI17" s="75"/>
      <c r="AJ17" s="81"/>
      <c r="AK17" s="75"/>
      <c r="AL17" s="75"/>
    </row>
    <row r="18" spans="1:38" ht="15.75" hidden="1" thickBot="1" x14ac:dyDescent="0.3">
      <c r="A18" s="75"/>
      <c r="B18" s="75"/>
      <c r="C18" s="35">
        <f>INDEX(Données!$F$2:$L$54,MATCH(F18,Données!$F$2:$F$54,0),2)</f>
        <v>43836</v>
      </c>
      <c r="D18" s="29" t="str">
        <f t="shared" si="0"/>
        <v>#1</v>
      </c>
      <c r="E18" s="7">
        <f>Données!K3</f>
        <v>43840</v>
      </c>
      <c r="F18" s="6" t="str">
        <f>INDEX(Données!$F$2:$L$54,MATCH('#1'!E18,Données!$G$2:$G$54,1),1)</f>
        <v>2</v>
      </c>
      <c r="G18" s="18" t="str">
        <f t="shared" si="1"/>
        <v>PS-1</v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1"/>
      <c r="W18" s="75"/>
      <c r="X18" s="75"/>
      <c r="Y18" s="75"/>
      <c r="Z18" s="96">
        <f>SUM(Tableau13[[#This Row],[A-1]:[G-5]])</f>
        <v>0</v>
      </c>
      <c r="AA18" s="96" t="str">
        <f>IF(AND(Z18&gt;0,Tableau13[[#This Row],[CDS]]=""),"Oui","Non")</f>
        <v>Non</v>
      </c>
      <c r="AB18" s="75"/>
      <c r="AC18" s="75"/>
      <c r="AD18" s="75"/>
      <c r="AE18" s="75"/>
      <c r="AF18" s="75"/>
      <c r="AG18" s="75"/>
      <c r="AH18" s="75"/>
      <c r="AI18" s="75"/>
      <c r="AJ18" s="81"/>
      <c r="AK18" s="75"/>
      <c r="AL18" s="75"/>
    </row>
    <row r="19" spans="1:38" ht="15.75" hidden="1" thickBot="1" x14ac:dyDescent="0.3">
      <c r="A19" s="75"/>
      <c r="B19" s="75"/>
      <c r="C19" s="35">
        <f>INDEX(Données!$F$2:$L$54,MATCH(F19,Données!$F$2:$F$54,0),2)</f>
        <v>43836</v>
      </c>
      <c r="D19" s="29" t="str">
        <f t="shared" si="0"/>
        <v>#1</v>
      </c>
      <c r="E19" s="7">
        <f>Données!L3</f>
        <v>43841</v>
      </c>
      <c r="F19" s="6" t="str">
        <f>INDEX(Données!$F$2:$L$54,MATCH('#1'!E19,Données!$G$2:$G$54,1),1)</f>
        <v>2</v>
      </c>
      <c r="G19" s="18" t="str">
        <f t="shared" si="1"/>
        <v>PS-1</v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1"/>
      <c r="W19" s="75"/>
      <c r="X19" s="75"/>
      <c r="Y19" s="75"/>
      <c r="Z19" s="96">
        <f>SUM(Tableau13[[#This Row],[A-1]:[G-5]])</f>
        <v>0</v>
      </c>
      <c r="AA19" s="96" t="str">
        <f>IF(AND(Z19&gt;0,Tableau13[[#This Row],[CDS]]=""),"Oui","Non")</f>
        <v>Non</v>
      </c>
      <c r="AB19" s="75"/>
      <c r="AC19" s="75"/>
      <c r="AD19" s="75"/>
      <c r="AE19" s="75"/>
      <c r="AF19" s="75"/>
      <c r="AG19" s="75"/>
      <c r="AH19" s="75"/>
      <c r="AI19" s="75"/>
      <c r="AJ19" s="81"/>
      <c r="AK19" s="75"/>
      <c r="AL19" s="75"/>
    </row>
    <row r="20" spans="1:38" ht="15.75" hidden="1" thickBot="1" x14ac:dyDescent="0.3">
      <c r="A20" s="75"/>
      <c r="B20" s="75"/>
      <c r="C20" s="35">
        <f>INDEX(Données!$F$2:$L$54,MATCH(F20,Données!$F$2:$F$54,0),2)</f>
        <v>43843</v>
      </c>
      <c r="D20" s="29" t="str">
        <f t="shared" si="0"/>
        <v>#1</v>
      </c>
      <c r="E20" s="7">
        <f>Données!G4</f>
        <v>43843</v>
      </c>
      <c r="F20" s="6" t="str">
        <f>INDEX(Données!$F$2:$L$54,MATCH('#1'!E20,Données!$G$2:$G$54,1),1)</f>
        <v>3</v>
      </c>
      <c r="G20" s="18" t="str">
        <f t="shared" si="1"/>
        <v>PS-1</v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1"/>
      <c r="W20" s="75"/>
      <c r="X20" s="75"/>
      <c r="Y20" s="75"/>
      <c r="Z20" s="96">
        <f>SUM(Tableau13[[#This Row],[A-1]:[G-5]])</f>
        <v>0</v>
      </c>
      <c r="AA20" s="96" t="str">
        <f>IF(AND(Z20&gt;0,Tableau13[[#This Row],[CDS]]=""),"Oui","Non")</f>
        <v>Non</v>
      </c>
      <c r="AB20" s="75"/>
      <c r="AC20" s="75"/>
      <c r="AD20" s="75"/>
      <c r="AE20" s="75"/>
      <c r="AF20" s="75"/>
      <c r="AG20" s="75"/>
      <c r="AH20" s="75"/>
      <c r="AI20" s="75"/>
      <c r="AJ20" s="81"/>
      <c r="AK20" s="75"/>
      <c r="AL20" s="75"/>
    </row>
    <row r="21" spans="1:38" ht="15.75" hidden="1" thickBot="1" x14ac:dyDescent="0.3">
      <c r="A21" s="75"/>
      <c r="B21" s="75"/>
      <c r="C21" s="35">
        <f>INDEX(Données!$F$2:$L$54,MATCH(F21,Données!$F$2:$F$54,0),2)</f>
        <v>43843</v>
      </c>
      <c r="D21" s="29" t="str">
        <f t="shared" si="0"/>
        <v>#1</v>
      </c>
      <c r="E21" s="7">
        <f>Données!H4</f>
        <v>43844</v>
      </c>
      <c r="F21" s="6" t="str">
        <f>INDEX(Données!$F$2:$L$54,MATCH('#1'!E21,Données!$G$2:$G$54,1),1)</f>
        <v>3</v>
      </c>
      <c r="G21" s="18" t="str">
        <f t="shared" si="1"/>
        <v>PS-1</v>
      </c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1"/>
      <c r="W21" s="75"/>
      <c r="X21" s="75"/>
      <c r="Y21" s="75"/>
      <c r="Z21" s="96">
        <f>SUM(Tableau13[[#This Row],[A-1]:[G-5]])</f>
        <v>0</v>
      </c>
      <c r="AA21" s="96" t="str">
        <f>IF(AND(Z21&gt;0,Tableau13[[#This Row],[CDS]]=""),"Oui","Non")</f>
        <v>Non</v>
      </c>
      <c r="AB21" s="75"/>
      <c r="AC21" s="75"/>
      <c r="AD21" s="75"/>
      <c r="AE21" s="75"/>
      <c r="AF21" s="75"/>
      <c r="AG21" s="75"/>
      <c r="AH21" s="75"/>
      <c r="AI21" s="75"/>
      <c r="AJ21" s="81"/>
      <c r="AK21" s="75"/>
      <c r="AL21" s="75"/>
    </row>
    <row r="22" spans="1:38" ht="15.75" hidden="1" thickBot="1" x14ac:dyDescent="0.3">
      <c r="A22" s="75"/>
      <c r="B22" s="75"/>
      <c r="C22" s="35">
        <f>INDEX(Données!$F$2:$L$54,MATCH(F22,Données!$F$2:$F$54,0),2)</f>
        <v>43843</v>
      </c>
      <c r="D22" s="29" t="str">
        <f t="shared" si="0"/>
        <v>#1</v>
      </c>
      <c r="E22" s="7">
        <f>Données!I4</f>
        <v>43845</v>
      </c>
      <c r="F22" s="6" t="str">
        <f>INDEX(Données!$F$2:$L$54,MATCH('#1'!E22,Données!$G$2:$G$54,1),1)</f>
        <v>3</v>
      </c>
      <c r="G22" s="18" t="str">
        <f t="shared" si="1"/>
        <v>PS-1</v>
      </c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1"/>
      <c r="W22" s="75"/>
      <c r="X22" s="75"/>
      <c r="Y22" s="75"/>
      <c r="Z22" s="96">
        <f>SUM(Tableau13[[#This Row],[A-1]:[G-5]])</f>
        <v>0</v>
      </c>
      <c r="AA22" s="96" t="str">
        <f>IF(AND(Z22&gt;0,Tableau13[[#This Row],[CDS]]=""),"Oui","Non")</f>
        <v>Non</v>
      </c>
      <c r="AB22" s="75"/>
      <c r="AC22" s="75"/>
      <c r="AD22" s="75"/>
      <c r="AE22" s="75"/>
      <c r="AF22" s="75"/>
      <c r="AG22" s="75"/>
      <c r="AH22" s="75"/>
      <c r="AI22" s="75"/>
      <c r="AJ22" s="81"/>
      <c r="AK22" s="75"/>
      <c r="AL22" s="75"/>
    </row>
    <row r="23" spans="1:38" ht="15.75" hidden="1" thickBot="1" x14ac:dyDescent="0.3">
      <c r="A23" s="75"/>
      <c r="B23" s="75"/>
      <c r="C23" s="35">
        <f>INDEX(Données!$F$2:$L$54,MATCH(F23,Données!$F$2:$F$54,0),2)</f>
        <v>43843</v>
      </c>
      <c r="D23" s="29" t="str">
        <f t="shared" si="0"/>
        <v>#1</v>
      </c>
      <c r="E23" s="7">
        <f>Données!J4</f>
        <v>43846</v>
      </c>
      <c r="F23" s="6" t="str">
        <f>INDEX(Données!$F$2:$L$54,MATCH('#1'!E23,Données!$G$2:$G$54,1),1)</f>
        <v>3</v>
      </c>
      <c r="G23" s="18" t="str">
        <f t="shared" si="1"/>
        <v>PS-1</v>
      </c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1"/>
      <c r="W23" s="75"/>
      <c r="X23" s="75"/>
      <c r="Y23" s="75"/>
      <c r="Z23" s="96">
        <f>SUM(Tableau13[[#This Row],[A-1]:[G-5]])</f>
        <v>0</v>
      </c>
      <c r="AA23" s="96" t="str">
        <f>IF(AND(Z23&gt;0,Tableau13[[#This Row],[CDS]]=""),"Oui","Non")</f>
        <v>Non</v>
      </c>
      <c r="AB23" s="75"/>
      <c r="AC23" s="75"/>
      <c r="AD23" s="75"/>
      <c r="AE23" s="75"/>
      <c r="AF23" s="75"/>
      <c r="AG23" s="75"/>
      <c r="AH23" s="75"/>
      <c r="AI23" s="75"/>
      <c r="AJ23" s="81"/>
      <c r="AK23" s="75"/>
      <c r="AL23" s="75"/>
    </row>
    <row r="24" spans="1:38" ht="15.75" hidden="1" thickBot="1" x14ac:dyDescent="0.3">
      <c r="A24" s="75"/>
      <c r="B24" s="75"/>
      <c r="C24" s="35">
        <f>INDEX(Données!$F$2:$L$54,MATCH(F24,Données!$F$2:$F$54,0),2)</f>
        <v>43843</v>
      </c>
      <c r="D24" s="29" t="str">
        <f t="shared" si="0"/>
        <v>#1</v>
      </c>
      <c r="E24" s="7">
        <f>Données!K4</f>
        <v>43847</v>
      </c>
      <c r="F24" s="6" t="str">
        <f>INDEX(Données!$F$2:$L$54,MATCH('#1'!E24,Données!$G$2:$G$54,1),1)</f>
        <v>3</v>
      </c>
      <c r="G24" s="18" t="str">
        <f t="shared" si="1"/>
        <v>PS-1</v>
      </c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1"/>
      <c r="W24" s="75"/>
      <c r="X24" s="75"/>
      <c r="Y24" s="75"/>
      <c r="Z24" s="96">
        <f>SUM(Tableau13[[#This Row],[A-1]:[G-5]])</f>
        <v>0</v>
      </c>
      <c r="AA24" s="96" t="str">
        <f>IF(AND(Z24&gt;0,Tableau13[[#This Row],[CDS]]=""),"Oui","Non")</f>
        <v>Non</v>
      </c>
      <c r="AB24" s="75"/>
      <c r="AC24" s="75"/>
      <c r="AD24" s="75"/>
      <c r="AE24" s="75"/>
      <c r="AF24" s="75"/>
      <c r="AG24" s="75"/>
      <c r="AH24" s="75"/>
      <c r="AI24" s="75"/>
      <c r="AJ24" s="81"/>
      <c r="AK24" s="75"/>
      <c r="AL24" s="75"/>
    </row>
    <row r="25" spans="1:38" ht="15.75" hidden="1" thickBot="1" x14ac:dyDescent="0.3">
      <c r="A25" s="75"/>
      <c r="B25" s="75"/>
      <c r="C25" s="35">
        <f>INDEX(Données!$F$2:$L$54,MATCH(F25,Données!$F$2:$F$54,0),2)</f>
        <v>43843</v>
      </c>
      <c r="D25" s="29" t="str">
        <f t="shared" si="0"/>
        <v>#1</v>
      </c>
      <c r="E25" s="7">
        <f>Données!L4</f>
        <v>43848</v>
      </c>
      <c r="F25" s="6" t="str">
        <f>INDEX(Données!$F$2:$L$54,MATCH('#1'!E25,Données!$G$2:$G$54,1),1)</f>
        <v>3</v>
      </c>
      <c r="G25" s="18" t="str">
        <f t="shared" si="1"/>
        <v>PS-1</v>
      </c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1"/>
      <c r="W25" s="75"/>
      <c r="X25" s="75"/>
      <c r="Y25" s="75"/>
      <c r="Z25" s="96">
        <f>SUM(Tableau13[[#This Row],[A-1]:[G-5]])</f>
        <v>0</v>
      </c>
      <c r="AA25" s="96" t="str">
        <f>IF(AND(Z25&gt;0,Tableau13[[#This Row],[CDS]]=""),"Oui","Non")</f>
        <v>Non</v>
      </c>
      <c r="AB25" s="75"/>
      <c r="AC25" s="75"/>
      <c r="AD25" s="75"/>
      <c r="AE25" s="75"/>
      <c r="AF25" s="75"/>
      <c r="AG25" s="75"/>
      <c r="AH25" s="75"/>
      <c r="AI25" s="75"/>
      <c r="AJ25" s="81"/>
      <c r="AK25" s="75"/>
      <c r="AL25" s="75"/>
    </row>
    <row r="26" spans="1:38" ht="15.75" hidden="1" thickBot="1" x14ac:dyDescent="0.3">
      <c r="A26" s="75"/>
      <c r="B26" s="75"/>
      <c r="C26" s="35">
        <f>INDEX(Données!$F$2:$L$54,MATCH(F26,Données!$F$2:$F$54,0),2)</f>
        <v>43850</v>
      </c>
      <c r="D26" s="29" t="str">
        <f t="shared" si="0"/>
        <v>#1</v>
      </c>
      <c r="E26" s="7">
        <f>Données!G5</f>
        <v>43850</v>
      </c>
      <c r="F26" s="6" t="str">
        <f>INDEX(Données!$F$2:$L$54,MATCH('#1'!E26,Données!$G$2:$G$54,1),1)</f>
        <v>4</v>
      </c>
      <c r="G26" s="18" t="str">
        <f t="shared" si="1"/>
        <v>PS-1</v>
      </c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1"/>
      <c r="W26" s="75"/>
      <c r="X26" s="75"/>
      <c r="Y26" s="75"/>
      <c r="Z26" s="96">
        <f>SUM(Tableau13[[#This Row],[A-1]:[G-5]])</f>
        <v>0</v>
      </c>
      <c r="AA26" s="96" t="str">
        <f>IF(AND(Z26&gt;0,Tableau13[[#This Row],[CDS]]=""),"Oui","Non")</f>
        <v>Non</v>
      </c>
      <c r="AB26" s="75"/>
      <c r="AC26" s="75"/>
      <c r="AD26" s="75"/>
      <c r="AE26" s="75"/>
      <c r="AF26" s="75"/>
      <c r="AG26" s="75"/>
      <c r="AH26" s="75"/>
      <c r="AI26" s="75"/>
      <c r="AJ26" s="81"/>
      <c r="AK26" s="75"/>
      <c r="AL26" s="75"/>
    </row>
    <row r="27" spans="1:38" ht="15.75" hidden="1" thickBot="1" x14ac:dyDescent="0.3">
      <c r="A27" s="75"/>
      <c r="B27" s="75"/>
      <c r="C27" s="35">
        <f>INDEX(Données!$F$2:$L$54,MATCH(F27,Données!$F$2:$F$54,0),2)</f>
        <v>43850</v>
      </c>
      <c r="D27" s="29" t="str">
        <f t="shared" si="0"/>
        <v>#1</v>
      </c>
      <c r="E27" s="7">
        <f>Données!H5</f>
        <v>43851</v>
      </c>
      <c r="F27" s="6" t="str">
        <f>INDEX(Données!$F$2:$L$54,MATCH('#1'!E27,Données!$G$2:$G$54,1),1)</f>
        <v>4</v>
      </c>
      <c r="G27" s="18" t="str">
        <f t="shared" si="1"/>
        <v>PS-1</v>
      </c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1"/>
      <c r="W27" s="75"/>
      <c r="X27" s="75"/>
      <c r="Y27" s="75"/>
      <c r="Z27" s="96">
        <f>SUM(Tableau13[[#This Row],[A-1]:[G-5]])</f>
        <v>0</v>
      </c>
      <c r="AA27" s="96" t="str">
        <f>IF(AND(Z27&gt;0,Tableau13[[#This Row],[CDS]]=""),"Oui","Non")</f>
        <v>Non</v>
      </c>
      <c r="AB27" s="75"/>
      <c r="AC27" s="75"/>
      <c r="AD27" s="75"/>
      <c r="AE27" s="75"/>
      <c r="AF27" s="75"/>
      <c r="AG27" s="75"/>
      <c r="AH27" s="75"/>
      <c r="AI27" s="75"/>
      <c r="AJ27" s="81"/>
      <c r="AK27" s="75"/>
      <c r="AL27" s="75"/>
    </row>
    <row r="28" spans="1:38" ht="15.75" hidden="1" thickBot="1" x14ac:dyDescent="0.3">
      <c r="A28" s="75"/>
      <c r="B28" s="75"/>
      <c r="C28" s="35">
        <f>INDEX(Données!$F$2:$L$54,MATCH(F28,Données!$F$2:$F$54,0),2)</f>
        <v>43850</v>
      </c>
      <c r="D28" s="29" t="str">
        <f t="shared" si="0"/>
        <v>#1</v>
      </c>
      <c r="E28" s="7">
        <f>Données!I5</f>
        <v>43852</v>
      </c>
      <c r="F28" s="6" t="str">
        <f>INDEX(Données!$F$2:$L$54,MATCH('#1'!E28,Données!$G$2:$G$54,1),1)</f>
        <v>4</v>
      </c>
      <c r="G28" s="18" t="str">
        <f t="shared" si="1"/>
        <v>PS-1</v>
      </c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1"/>
      <c r="W28" s="75"/>
      <c r="X28" s="75"/>
      <c r="Y28" s="75"/>
      <c r="Z28" s="96">
        <f>SUM(Tableau13[[#This Row],[A-1]:[G-5]])</f>
        <v>0</v>
      </c>
      <c r="AA28" s="96" t="str">
        <f>IF(AND(Z28&gt;0,Tableau13[[#This Row],[CDS]]=""),"Oui","Non")</f>
        <v>Non</v>
      </c>
      <c r="AB28" s="75"/>
      <c r="AC28" s="75"/>
      <c r="AD28" s="75"/>
      <c r="AE28" s="75"/>
      <c r="AF28" s="75"/>
      <c r="AG28" s="75"/>
      <c r="AH28" s="75"/>
      <c r="AI28" s="75"/>
      <c r="AJ28" s="81"/>
      <c r="AK28" s="75"/>
      <c r="AL28" s="75"/>
    </row>
    <row r="29" spans="1:38" ht="15.75" hidden="1" thickBot="1" x14ac:dyDescent="0.3">
      <c r="A29" s="75"/>
      <c r="B29" s="75"/>
      <c r="C29" s="35">
        <f>INDEX(Données!$F$2:$L$54,MATCH(F29,Données!$F$2:$F$54,0),2)</f>
        <v>43850</v>
      </c>
      <c r="D29" s="29" t="str">
        <f t="shared" si="0"/>
        <v>#1</v>
      </c>
      <c r="E29" s="7">
        <f>Données!J5</f>
        <v>43853</v>
      </c>
      <c r="F29" s="6" t="str">
        <f>INDEX(Données!$F$2:$L$54,MATCH('#1'!E29,Données!$G$2:$G$54,1),1)</f>
        <v>4</v>
      </c>
      <c r="G29" s="18" t="str">
        <f t="shared" si="1"/>
        <v>PS-1</v>
      </c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1"/>
      <c r="W29" s="75"/>
      <c r="X29" s="75"/>
      <c r="Y29" s="75"/>
      <c r="Z29" s="96">
        <f>SUM(Tableau13[[#This Row],[A-1]:[G-5]])</f>
        <v>0</v>
      </c>
      <c r="AA29" s="96" t="str">
        <f>IF(AND(Z29&gt;0,Tableau13[[#This Row],[CDS]]=""),"Oui","Non")</f>
        <v>Non</v>
      </c>
      <c r="AB29" s="75"/>
      <c r="AC29" s="75"/>
      <c r="AD29" s="75"/>
      <c r="AE29" s="75"/>
      <c r="AF29" s="75"/>
      <c r="AG29" s="75"/>
      <c r="AH29" s="75"/>
      <c r="AI29" s="75"/>
      <c r="AJ29" s="81"/>
      <c r="AK29" s="75"/>
      <c r="AL29" s="75"/>
    </row>
    <row r="30" spans="1:38" ht="15.75" hidden="1" thickBot="1" x14ac:dyDescent="0.3">
      <c r="A30" s="75"/>
      <c r="B30" s="75"/>
      <c r="C30" s="35">
        <f>INDEX(Données!$F$2:$L$54,MATCH(F30,Données!$F$2:$F$54,0),2)</f>
        <v>43850</v>
      </c>
      <c r="D30" s="29" t="str">
        <f t="shared" si="0"/>
        <v>#1</v>
      </c>
      <c r="E30" s="7">
        <f>Données!K5</f>
        <v>43854</v>
      </c>
      <c r="F30" s="6" t="str">
        <f>INDEX(Données!$F$2:$L$54,MATCH('#1'!E30,Données!$G$2:$G$54,1),1)</f>
        <v>4</v>
      </c>
      <c r="G30" s="18" t="str">
        <f t="shared" si="1"/>
        <v>PS-1</v>
      </c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1"/>
      <c r="W30" s="75"/>
      <c r="X30" s="75"/>
      <c r="Y30" s="75"/>
      <c r="Z30" s="96">
        <f>SUM(Tableau13[[#This Row],[A-1]:[G-5]])</f>
        <v>0</v>
      </c>
      <c r="AA30" s="96" t="str">
        <f>IF(AND(Z30&gt;0,Tableau13[[#This Row],[CDS]]=""),"Oui","Non")</f>
        <v>Non</v>
      </c>
      <c r="AB30" s="75"/>
      <c r="AC30" s="75"/>
      <c r="AD30" s="75"/>
      <c r="AE30" s="75"/>
      <c r="AF30" s="75"/>
      <c r="AG30" s="75"/>
      <c r="AH30" s="75"/>
      <c r="AI30" s="75"/>
      <c r="AJ30" s="81"/>
      <c r="AK30" s="75"/>
      <c r="AL30" s="75"/>
    </row>
    <row r="31" spans="1:38" ht="15.75" hidden="1" thickBot="1" x14ac:dyDescent="0.3">
      <c r="A31" s="75"/>
      <c r="B31" s="75"/>
      <c r="C31" s="35">
        <f>INDEX(Données!$F$2:$L$54,MATCH(F31,Données!$F$2:$F$54,0),2)</f>
        <v>43850</v>
      </c>
      <c r="D31" s="29" t="str">
        <f t="shared" si="0"/>
        <v>#1</v>
      </c>
      <c r="E31" s="7">
        <f>Données!L5</f>
        <v>43855</v>
      </c>
      <c r="F31" s="6" t="str">
        <f>INDEX(Données!$F$2:$L$54,MATCH('#1'!E31,Données!$G$2:$G$54,1),1)</f>
        <v>4</v>
      </c>
      <c r="G31" s="18" t="str">
        <f t="shared" si="1"/>
        <v>PS-1</v>
      </c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1"/>
      <c r="W31" s="75"/>
      <c r="X31" s="75"/>
      <c r="Y31" s="75"/>
      <c r="Z31" s="96">
        <f>SUM(Tableau13[[#This Row],[A-1]:[G-5]])</f>
        <v>0</v>
      </c>
      <c r="AA31" s="96" t="str">
        <f>IF(AND(Z31&gt;0,Tableau13[[#This Row],[CDS]]=""),"Oui","Non")</f>
        <v>Non</v>
      </c>
      <c r="AB31" s="75"/>
      <c r="AC31" s="75"/>
      <c r="AD31" s="75"/>
      <c r="AE31" s="75"/>
      <c r="AF31" s="75"/>
      <c r="AG31" s="75"/>
      <c r="AH31" s="75"/>
      <c r="AI31" s="75"/>
      <c r="AJ31" s="81"/>
      <c r="AK31" s="75"/>
      <c r="AL31" s="75"/>
    </row>
    <row r="32" spans="1:38" ht="15.75" hidden="1" thickBot="1" x14ac:dyDescent="0.3">
      <c r="A32" s="75"/>
      <c r="B32" s="75"/>
      <c r="C32" s="35">
        <f>INDEX(Données!$F$2:$L$54,MATCH(F32,Données!$F$2:$F$54,0),2)</f>
        <v>43857</v>
      </c>
      <c r="D32" s="29" t="str">
        <f t="shared" si="0"/>
        <v>#1</v>
      </c>
      <c r="E32" s="7">
        <f>Données!G6</f>
        <v>43857</v>
      </c>
      <c r="F32" s="6" t="str">
        <f>INDEX(Données!$F$2:$L$54,MATCH('#1'!E32,Données!$G$2:$G$54,1),1)</f>
        <v>5</v>
      </c>
      <c r="G32" s="18" t="str">
        <f t="shared" si="1"/>
        <v>PS-1</v>
      </c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1"/>
      <c r="W32" s="75"/>
      <c r="X32" s="75"/>
      <c r="Y32" s="75"/>
      <c r="Z32" s="96">
        <f>SUM(Tableau13[[#This Row],[A-1]:[G-5]])</f>
        <v>0</v>
      </c>
      <c r="AA32" s="96" t="str">
        <f>IF(AND(Z32&gt;0,Tableau13[[#This Row],[CDS]]=""),"Oui","Non")</f>
        <v>Non</v>
      </c>
      <c r="AB32" s="75"/>
      <c r="AC32" s="75"/>
      <c r="AD32" s="75"/>
      <c r="AE32" s="75"/>
      <c r="AF32" s="75"/>
      <c r="AG32" s="75"/>
      <c r="AH32" s="75"/>
      <c r="AI32" s="75"/>
      <c r="AJ32" s="81"/>
      <c r="AK32" s="75"/>
      <c r="AL32" s="75"/>
    </row>
    <row r="33" spans="1:38" ht="15.75" hidden="1" thickBot="1" x14ac:dyDescent="0.3">
      <c r="A33" s="75"/>
      <c r="B33" s="75"/>
      <c r="C33" s="35">
        <f>INDEX(Données!$F$2:$L$54,MATCH(F33,Données!$F$2:$F$54,0),2)</f>
        <v>43857</v>
      </c>
      <c r="D33" s="29" t="str">
        <f t="shared" si="0"/>
        <v>#1</v>
      </c>
      <c r="E33" s="7">
        <f>Données!H6</f>
        <v>43858</v>
      </c>
      <c r="F33" s="6" t="str">
        <f>INDEX(Données!$F$2:$L$54,MATCH('#1'!E33,Données!$G$2:$G$54,1),1)</f>
        <v>5</v>
      </c>
      <c r="G33" s="18" t="str">
        <f t="shared" si="1"/>
        <v>PS-1</v>
      </c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1"/>
      <c r="W33" s="75"/>
      <c r="X33" s="75"/>
      <c r="Y33" s="75"/>
      <c r="Z33" s="96">
        <f>SUM(Tableau13[[#This Row],[A-1]:[G-5]])</f>
        <v>0</v>
      </c>
      <c r="AA33" s="96" t="str">
        <f>IF(AND(Z33&gt;0,Tableau13[[#This Row],[CDS]]=""),"Oui","Non")</f>
        <v>Non</v>
      </c>
      <c r="AB33" s="75"/>
      <c r="AC33" s="75"/>
      <c r="AD33" s="75"/>
      <c r="AE33" s="75"/>
      <c r="AF33" s="75"/>
      <c r="AG33" s="75"/>
      <c r="AH33" s="75"/>
      <c r="AI33" s="75"/>
      <c r="AJ33" s="81"/>
      <c r="AK33" s="75"/>
      <c r="AL33" s="75"/>
    </row>
    <row r="34" spans="1:38" ht="15.75" hidden="1" thickBot="1" x14ac:dyDescent="0.3">
      <c r="A34" s="75"/>
      <c r="B34" s="75"/>
      <c r="C34" s="35">
        <f>INDEX(Données!$F$2:$L$54,MATCH(F34,Données!$F$2:$F$54,0),2)</f>
        <v>43857</v>
      </c>
      <c r="D34" s="29" t="str">
        <f t="shared" si="0"/>
        <v>#1</v>
      </c>
      <c r="E34" s="7">
        <f>Données!I6</f>
        <v>43859</v>
      </c>
      <c r="F34" s="6" t="str">
        <f>INDEX(Données!$F$2:$L$54,MATCH('#1'!E34,Données!$G$2:$G$54,1),1)</f>
        <v>5</v>
      </c>
      <c r="G34" s="18" t="str">
        <f t="shared" si="1"/>
        <v>PS-1</v>
      </c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1"/>
      <c r="W34" s="75"/>
      <c r="X34" s="75"/>
      <c r="Y34" s="75"/>
      <c r="Z34" s="96">
        <f>SUM(Tableau13[[#This Row],[A-1]:[G-5]])</f>
        <v>0</v>
      </c>
      <c r="AA34" s="96" t="str">
        <f>IF(AND(Z34&gt;0,Tableau13[[#This Row],[CDS]]=""),"Oui","Non")</f>
        <v>Non</v>
      </c>
      <c r="AB34" s="75"/>
      <c r="AC34" s="75"/>
      <c r="AD34" s="75"/>
      <c r="AE34" s="75"/>
      <c r="AF34" s="75"/>
      <c r="AG34" s="75"/>
      <c r="AH34" s="75"/>
      <c r="AI34" s="75"/>
      <c r="AJ34" s="81"/>
      <c r="AK34" s="75"/>
      <c r="AL34" s="75"/>
    </row>
    <row r="35" spans="1:38" ht="15.75" hidden="1" thickBot="1" x14ac:dyDescent="0.3">
      <c r="A35" s="75"/>
      <c r="B35" s="75"/>
      <c r="C35" s="35">
        <f>INDEX(Données!$F$2:$L$54,MATCH(F35,Données!$F$2:$F$54,0),2)</f>
        <v>43857</v>
      </c>
      <c r="D35" s="29" t="str">
        <f t="shared" si="0"/>
        <v>#1</v>
      </c>
      <c r="E35" s="7">
        <f>Données!J6</f>
        <v>43860</v>
      </c>
      <c r="F35" s="6" t="str">
        <f>INDEX(Données!$F$2:$L$54,MATCH('#1'!E35,Données!$G$2:$G$54,1),1)</f>
        <v>5</v>
      </c>
      <c r="G35" s="18" t="str">
        <f t="shared" si="1"/>
        <v>PS-1</v>
      </c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1"/>
      <c r="W35" s="75"/>
      <c r="X35" s="75"/>
      <c r="Y35" s="75"/>
      <c r="Z35" s="96">
        <f>SUM(Tableau13[[#This Row],[A-1]:[G-5]])</f>
        <v>0</v>
      </c>
      <c r="AA35" s="96" t="str">
        <f>IF(AND(Z35&gt;0,Tableau13[[#This Row],[CDS]]=""),"Oui","Non")</f>
        <v>Non</v>
      </c>
      <c r="AB35" s="75"/>
      <c r="AC35" s="75"/>
      <c r="AD35" s="75"/>
      <c r="AE35" s="75"/>
      <c r="AF35" s="75"/>
      <c r="AG35" s="75"/>
      <c r="AH35" s="75"/>
      <c r="AI35" s="75"/>
      <c r="AJ35" s="81"/>
      <c r="AK35" s="75"/>
      <c r="AL35" s="75"/>
    </row>
    <row r="36" spans="1:38" ht="15.75" hidden="1" thickBot="1" x14ac:dyDescent="0.3">
      <c r="A36" s="75"/>
      <c r="B36" s="75"/>
      <c r="C36" s="35">
        <f>INDEX(Données!$F$2:$L$54,MATCH(F36,Données!$F$2:$F$54,0),2)</f>
        <v>43857</v>
      </c>
      <c r="D36" s="29" t="str">
        <f t="shared" si="0"/>
        <v>#1</v>
      </c>
      <c r="E36" s="7">
        <f>Données!K6</f>
        <v>43861</v>
      </c>
      <c r="F36" s="6" t="str">
        <f>INDEX(Données!$F$2:$L$54,MATCH('#1'!E36,Données!$G$2:$G$54,1),1)</f>
        <v>5</v>
      </c>
      <c r="G36" s="18" t="str">
        <f t="shared" si="1"/>
        <v>PS-1</v>
      </c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1"/>
      <c r="W36" s="75"/>
      <c r="X36" s="75"/>
      <c r="Y36" s="75"/>
      <c r="Z36" s="96">
        <f>SUM(Tableau13[[#This Row],[A-1]:[G-5]])</f>
        <v>0</v>
      </c>
      <c r="AA36" s="96" t="str">
        <f>IF(AND(Z36&gt;0,Tableau13[[#This Row],[CDS]]=""),"Oui","Non")</f>
        <v>Non</v>
      </c>
      <c r="AB36" s="75"/>
      <c r="AC36" s="75"/>
      <c r="AD36" s="75"/>
      <c r="AE36" s="75"/>
      <c r="AF36" s="75"/>
      <c r="AG36" s="75"/>
      <c r="AH36" s="75"/>
      <c r="AI36" s="75"/>
      <c r="AJ36" s="81"/>
      <c r="AK36" s="75"/>
      <c r="AL36" s="75"/>
    </row>
    <row r="37" spans="1:38" ht="15.75" hidden="1" thickBot="1" x14ac:dyDescent="0.3">
      <c r="A37" s="75"/>
      <c r="B37" s="75"/>
      <c r="C37" s="35">
        <f>INDEX(Données!$F$2:$L$54,MATCH(F37,Données!$F$2:$F$54,0),2)</f>
        <v>43857</v>
      </c>
      <c r="D37" s="29" t="str">
        <f t="shared" si="0"/>
        <v>#1</v>
      </c>
      <c r="E37" s="7">
        <f>Données!L6</f>
        <v>43862</v>
      </c>
      <c r="F37" s="6" t="str">
        <f>INDEX(Données!$F$2:$L$54,MATCH('#1'!E37,Données!$G$2:$G$54,1),1)</f>
        <v>5</v>
      </c>
      <c r="G37" s="18" t="str">
        <f t="shared" si="1"/>
        <v>PS-1</v>
      </c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1"/>
      <c r="W37" s="75"/>
      <c r="X37" s="75"/>
      <c r="Y37" s="75"/>
      <c r="Z37" s="96">
        <f>SUM(Tableau13[[#This Row],[A-1]:[G-5]])</f>
        <v>0</v>
      </c>
      <c r="AA37" s="96" t="str">
        <f>IF(AND(Z37&gt;0,Tableau13[[#This Row],[CDS]]=""),"Oui","Non")</f>
        <v>Non</v>
      </c>
      <c r="AB37" s="75"/>
      <c r="AC37" s="75"/>
      <c r="AD37" s="75"/>
      <c r="AE37" s="75"/>
      <c r="AF37" s="75"/>
      <c r="AG37" s="75"/>
      <c r="AH37" s="75"/>
      <c r="AI37" s="75"/>
      <c r="AJ37" s="81"/>
      <c r="AK37" s="75"/>
      <c r="AL37" s="75"/>
    </row>
    <row r="38" spans="1:38" ht="15.75" hidden="1" thickBot="1" x14ac:dyDescent="0.3">
      <c r="A38" s="75"/>
      <c r="B38" s="75"/>
      <c r="C38" s="35">
        <f>INDEX(Données!$F$2:$L$54,MATCH(F38,Données!$F$2:$F$54,0),2)</f>
        <v>43864</v>
      </c>
      <c r="D38" s="29" t="str">
        <f t="shared" si="0"/>
        <v>#1</v>
      </c>
      <c r="E38" s="7">
        <f>Données!G7</f>
        <v>43864</v>
      </c>
      <c r="F38" s="6" t="str">
        <f>INDEX(Données!$F$2:$L$54,MATCH('#1'!E38,Données!$G$2:$G$54,1),1)</f>
        <v>6</v>
      </c>
      <c r="G38" s="18" t="str">
        <f t="shared" si="1"/>
        <v>PS-1</v>
      </c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1"/>
      <c r="W38" s="75"/>
      <c r="X38" s="75"/>
      <c r="Y38" s="75"/>
      <c r="Z38" s="96">
        <f>SUM(Tableau13[[#This Row],[A-1]:[G-5]])</f>
        <v>0</v>
      </c>
      <c r="AA38" s="96" t="str">
        <f>IF(AND(Z38&gt;0,Tableau13[[#This Row],[CDS]]=""),"Oui","Non")</f>
        <v>Non</v>
      </c>
      <c r="AB38" s="75"/>
      <c r="AC38" s="75"/>
      <c r="AD38" s="75"/>
      <c r="AE38" s="75"/>
      <c r="AF38" s="75"/>
      <c r="AG38" s="75"/>
      <c r="AH38" s="75"/>
      <c r="AI38" s="75"/>
      <c r="AJ38" s="81"/>
      <c r="AK38" s="75"/>
      <c r="AL38" s="75"/>
    </row>
    <row r="39" spans="1:38" ht="15.75" hidden="1" thickBot="1" x14ac:dyDescent="0.3">
      <c r="A39" s="75"/>
      <c r="B39" s="75"/>
      <c r="C39" s="35">
        <f>INDEX(Données!$F$2:$L$54,MATCH(F39,Données!$F$2:$F$54,0),2)</f>
        <v>43864</v>
      </c>
      <c r="D39" s="29" t="str">
        <f t="shared" si="0"/>
        <v>#1</v>
      </c>
      <c r="E39" s="7">
        <f>Données!H7</f>
        <v>43865</v>
      </c>
      <c r="F39" s="6" t="str">
        <f>INDEX(Données!$F$2:$L$54,MATCH('#1'!E39,Données!$G$2:$G$54,1),1)</f>
        <v>6</v>
      </c>
      <c r="G39" s="18" t="str">
        <f t="shared" si="1"/>
        <v>PS-1</v>
      </c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1"/>
      <c r="W39" s="75"/>
      <c r="X39" s="75"/>
      <c r="Y39" s="75"/>
      <c r="Z39" s="96">
        <f>SUM(Tableau13[[#This Row],[A-1]:[G-5]])</f>
        <v>0</v>
      </c>
      <c r="AA39" s="96" t="str">
        <f>IF(AND(Z39&gt;0,Tableau13[[#This Row],[CDS]]=""),"Oui","Non")</f>
        <v>Non</v>
      </c>
      <c r="AB39" s="75"/>
      <c r="AC39" s="75"/>
      <c r="AD39" s="75"/>
      <c r="AE39" s="75"/>
      <c r="AF39" s="75"/>
      <c r="AG39" s="75"/>
      <c r="AH39" s="75"/>
      <c r="AI39" s="75"/>
      <c r="AJ39" s="81"/>
      <c r="AK39" s="75"/>
      <c r="AL39" s="75"/>
    </row>
    <row r="40" spans="1:38" ht="15.75" hidden="1" thickBot="1" x14ac:dyDescent="0.3">
      <c r="A40" s="75"/>
      <c r="B40" s="75"/>
      <c r="C40" s="35">
        <f>INDEX(Données!$F$2:$L$54,MATCH(F40,Données!$F$2:$F$54,0),2)</f>
        <v>43864</v>
      </c>
      <c r="D40" s="29" t="str">
        <f t="shared" si="0"/>
        <v>#1</v>
      </c>
      <c r="E40" s="7">
        <f>Données!I7</f>
        <v>43866</v>
      </c>
      <c r="F40" s="6" t="str">
        <f>INDEX(Données!$F$2:$L$54,MATCH('#1'!E40,Données!$G$2:$G$54,1),1)</f>
        <v>6</v>
      </c>
      <c r="G40" s="18" t="str">
        <f t="shared" si="1"/>
        <v>PS-1</v>
      </c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1"/>
      <c r="W40" s="75"/>
      <c r="X40" s="75"/>
      <c r="Y40" s="75"/>
      <c r="Z40" s="96">
        <f>SUM(Tableau13[[#This Row],[A-1]:[G-5]])</f>
        <v>0</v>
      </c>
      <c r="AA40" s="96" t="str">
        <f>IF(AND(Z40&gt;0,Tableau13[[#This Row],[CDS]]=""),"Oui","Non")</f>
        <v>Non</v>
      </c>
      <c r="AB40" s="75"/>
      <c r="AC40" s="75"/>
      <c r="AD40" s="75"/>
      <c r="AE40" s="75"/>
      <c r="AF40" s="75"/>
      <c r="AG40" s="75"/>
      <c r="AH40" s="75"/>
      <c r="AI40" s="75"/>
      <c r="AJ40" s="81"/>
      <c r="AK40" s="75"/>
      <c r="AL40" s="75"/>
    </row>
    <row r="41" spans="1:38" ht="15.75" hidden="1" thickBot="1" x14ac:dyDescent="0.3">
      <c r="A41" s="75"/>
      <c r="B41" s="75"/>
      <c r="C41" s="35">
        <f>INDEX(Données!$F$2:$L$54,MATCH(F41,Données!$F$2:$F$54,0),2)</f>
        <v>43864</v>
      </c>
      <c r="D41" s="29" t="str">
        <f t="shared" si="0"/>
        <v>#1</v>
      </c>
      <c r="E41" s="7">
        <f>Données!J7</f>
        <v>43867</v>
      </c>
      <c r="F41" s="6" t="str">
        <f>INDEX(Données!$F$2:$L$54,MATCH('#1'!E41,Données!$G$2:$G$54,1),1)</f>
        <v>6</v>
      </c>
      <c r="G41" s="18" t="str">
        <f t="shared" si="1"/>
        <v>PS-1</v>
      </c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1"/>
      <c r="W41" s="75"/>
      <c r="X41" s="75"/>
      <c r="Y41" s="75"/>
      <c r="Z41" s="96">
        <f>SUM(Tableau13[[#This Row],[A-1]:[G-5]])</f>
        <v>0</v>
      </c>
      <c r="AA41" s="96" t="str">
        <f>IF(AND(Z41&gt;0,Tableau13[[#This Row],[CDS]]=""),"Oui","Non")</f>
        <v>Non</v>
      </c>
      <c r="AB41" s="75"/>
      <c r="AC41" s="75"/>
      <c r="AD41" s="75"/>
      <c r="AE41" s="75"/>
      <c r="AF41" s="75"/>
      <c r="AG41" s="75"/>
      <c r="AH41" s="75"/>
      <c r="AI41" s="75"/>
      <c r="AJ41" s="81"/>
      <c r="AK41" s="75"/>
      <c r="AL41" s="75"/>
    </row>
    <row r="42" spans="1:38" ht="15.75" hidden="1" thickBot="1" x14ac:dyDescent="0.3">
      <c r="A42" s="75"/>
      <c r="B42" s="75"/>
      <c r="C42" s="35">
        <f>INDEX(Données!$F$2:$L$54,MATCH(F42,Données!$F$2:$F$54,0),2)</f>
        <v>43864</v>
      </c>
      <c r="D42" s="29" t="str">
        <f t="shared" si="0"/>
        <v>#1</v>
      </c>
      <c r="E42" s="7">
        <f>Données!K7</f>
        <v>43868</v>
      </c>
      <c r="F42" s="6" t="str">
        <f>INDEX(Données!$F$2:$L$54,MATCH('#1'!E42,Données!$G$2:$G$54,1),1)</f>
        <v>6</v>
      </c>
      <c r="G42" s="18" t="str">
        <f t="shared" si="1"/>
        <v>PS-1</v>
      </c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1"/>
      <c r="W42" s="75"/>
      <c r="X42" s="75"/>
      <c r="Y42" s="75"/>
      <c r="Z42" s="96">
        <f>SUM(Tableau13[[#This Row],[A-1]:[G-5]])</f>
        <v>0</v>
      </c>
      <c r="AA42" s="96" t="str">
        <f>IF(AND(Z42&gt;0,Tableau13[[#This Row],[CDS]]=""),"Oui","Non")</f>
        <v>Non</v>
      </c>
      <c r="AB42" s="75"/>
      <c r="AC42" s="75"/>
      <c r="AD42" s="75"/>
      <c r="AE42" s="75"/>
      <c r="AF42" s="75"/>
      <c r="AG42" s="75"/>
      <c r="AH42" s="75"/>
      <c r="AI42" s="75"/>
      <c r="AJ42" s="81"/>
      <c r="AK42" s="75"/>
      <c r="AL42" s="75"/>
    </row>
    <row r="43" spans="1:38" ht="15.75" hidden="1" thickBot="1" x14ac:dyDescent="0.3">
      <c r="A43" s="75"/>
      <c r="B43" s="75"/>
      <c r="C43" s="35">
        <f>INDEX(Données!$F$2:$L$54,MATCH(F43,Données!$F$2:$F$54,0),2)</f>
        <v>43864</v>
      </c>
      <c r="D43" s="29" t="str">
        <f t="shared" si="0"/>
        <v>#1</v>
      </c>
      <c r="E43" s="7">
        <f>Données!L7</f>
        <v>43869</v>
      </c>
      <c r="F43" s="6" t="str">
        <f>INDEX(Données!$F$2:$L$54,MATCH('#1'!E43,Données!$G$2:$G$54,1),1)</f>
        <v>6</v>
      </c>
      <c r="G43" s="18" t="str">
        <f t="shared" si="1"/>
        <v>PS-1</v>
      </c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1"/>
      <c r="W43" s="75"/>
      <c r="X43" s="75"/>
      <c r="Y43" s="75"/>
      <c r="Z43" s="96">
        <f>SUM(Tableau13[[#This Row],[A-1]:[G-5]])</f>
        <v>0</v>
      </c>
      <c r="AA43" s="96" t="str">
        <f>IF(AND(Z43&gt;0,Tableau13[[#This Row],[CDS]]=""),"Oui","Non")</f>
        <v>Non</v>
      </c>
      <c r="AB43" s="75"/>
      <c r="AC43" s="75"/>
      <c r="AD43" s="75"/>
      <c r="AE43" s="75"/>
      <c r="AF43" s="75"/>
      <c r="AG43" s="75"/>
      <c r="AH43" s="75"/>
      <c r="AI43" s="75"/>
      <c r="AJ43" s="81"/>
      <c r="AK43" s="75"/>
      <c r="AL43" s="75"/>
    </row>
    <row r="44" spans="1:38" ht="15.75" hidden="1" thickBot="1" x14ac:dyDescent="0.3">
      <c r="A44" s="75"/>
      <c r="B44" s="75"/>
      <c r="C44" s="35">
        <f>INDEX(Données!$F$2:$L$54,MATCH(F44,Données!$F$2:$F$54,0),2)</f>
        <v>43871</v>
      </c>
      <c r="D44" s="29" t="str">
        <f t="shared" si="0"/>
        <v>#1</v>
      </c>
      <c r="E44" s="7">
        <f>Données!G8</f>
        <v>43871</v>
      </c>
      <c r="F44" s="6" t="str">
        <f>INDEX(Données!$F$2:$L$54,MATCH('#1'!E44,Données!$G$2:$G$54,1),1)</f>
        <v>7</v>
      </c>
      <c r="G44" s="18" t="str">
        <f t="shared" si="1"/>
        <v>PS-1</v>
      </c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1"/>
      <c r="W44" s="75"/>
      <c r="X44" s="75"/>
      <c r="Y44" s="75"/>
      <c r="Z44" s="96">
        <f>SUM(Tableau13[[#This Row],[A-1]:[G-5]])</f>
        <v>0</v>
      </c>
      <c r="AA44" s="96" t="str">
        <f>IF(AND(Z44&gt;0,Tableau13[[#This Row],[CDS]]=""),"Oui","Non")</f>
        <v>Non</v>
      </c>
      <c r="AB44" s="75"/>
      <c r="AC44" s="75"/>
      <c r="AD44" s="75"/>
      <c r="AE44" s="75"/>
      <c r="AF44" s="75"/>
      <c r="AG44" s="75"/>
      <c r="AH44" s="75"/>
      <c r="AI44" s="75"/>
      <c r="AJ44" s="81"/>
      <c r="AK44" s="75"/>
      <c r="AL44" s="75"/>
    </row>
    <row r="45" spans="1:38" ht="15.75" hidden="1" thickBot="1" x14ac:dyDescent="0.3">
      <c r="A45" s="75"/>
      <c r="B45" s="75"/>
      <c r="C45" s="35">
        <f>INDEX(Données!$F$2:$L$54,MATCH(F45,Données!$F$2:$F$54,0),2)</f>
        <v>43871</v>
      </c>
      <c r="D45" s="29" t="str">
        <f t="shared" si="0"/>
        <v>#1</v>
      </c>
      <c r="E45" s="7">
        <f>Données!H8</f>
        <v>43872</v>
      </c>
      <c r="F45" s="6" t="str">
        <f>INDEX(Données!$F$2:$L$54,MATCH('#1'!E45,Données!$G$2:$G$54,1),1)</f>
        <v>7</v>
      </c>
      <c r="G45" s="18" t="str">
        <f t="shared" si="1"/>
        <v>PS-1</v>
      </c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1"/>
      <c r="W45" s="75"/>
      <c r="X45" s="75"/>
      <c r="Y45" s="75"/>
      <c r="Z45" s="96">
        <f>SUM(Tableau13[[#This Row],[A-1]:[G-5]])</f>
        <v>0</v>
      </c>
      <c r="AA45" s="96" t="str">
        <f>IF(AND(Z45&gt;0,Tableau13[[#This Row],[CDS]]=""),"Oui","Non")</f>
        <v>Non</v>
      </c>
      <c r="AB45" s="75"/>
      <c r="AC45" s="75"/>
      <c r="AD45" s="75"/>
      <c r="AE45" s="75"/>
      <c r="AF45" s="75"/>
      <c r="AG45" s="75"/>
      <c r="AH45" s="75"/>
      <c r="AI45" s="75"/>
      <c r="AJ45" s="81"/>
      <c r="AK45" s="75"/>
      <c r="AL45" s="75"/>
    </row>
    <row r="46" spans="1:38" ht="15.75" hidden="1" thickBot="1" x14ac:dyDescent="0.3">
      <c r="A46" s="75"/>
      <c r="B46" s="75"/>
      <c r="C46" s="35">
        <f>INDEX(Données!$F$2:$L$54,MATCH(F46,Données!$F$2:$F$54,0),2)</f>
        <v>43871</v>
      </c>
      <c r="D46" s="29" t="str">
        <f t="shared" si="0"/>
        <v>#1</v>
      </c>
      <c r="E46" s="7">
        <f>Données!I8</f>
        <v>43873</v>
      </c>
      <c r="F46" s="6" t="str">
        <f>INDEX(Données!$F$2:$L$54,MATCH('#1'!E46,Données!$G$2:$G$54,1),1)</f>
        <v>7</v>
      </c>
      <c r="G46" s="18" t="str">
        <f t="shared" si="1"/>
        <v>PS-1</v>
      </c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1"/>
      <c r="W46" s="75"/>
      <c r="X46" s="75"/>
      <c r="Y46" s="75"/>
      <c r="Z46" s="96">
        <f>SUM(Tableau13[[#This Row],[A-1]:[G-5]])</f>
        <v>0</v>
      </c>
      <c r="AA46" s="96" t="str">
        <f>IF(AND(Z46&gt;0,Tableau13[[#This Row],[CDS]]=""),"Oui","Non")</f>
        <v>Non</v>
      </c>
      <c r="AB46" s="75"/>
      <c r="AC46" s="75"/>
      <c r="AD46" s="75"/>
      <c r="AE46" s="75"/>
      <c r="AF46" s="75"/>
      <c r="AG46" s="75"/>
      <c r="AH46" s="75"/>
      <c r="AI46" s="75"/>
      <c r="AJ46" s="81"/>
      <c r="AK46" s="75"/>
      <c r="AL46" s="75"/>
    </row>
    <row r="47" spans="1:38" ht="15.75" hidden="1" thickBot="1" x14ac:dyDescent="0.3">
      <c r="A47" s="75"/>
      <c r="B47" s="75"/>
      <c r="C47" s="35">
        <f>INDEX(Données!$F$2:$L$54,MATCH(F47,Données!$F$2:$F$54,0),2)</f>
        <v>43871</v>
      </c>
      <c r="D47" s="29" t="str">
        <f t="shared" si="0"/>
        <v>#1</v>
      </c>
      <c r="E47" s="7">
        <f>Données!J8</f>
        <v>43874</v>
      </c>
      <c r="F47" s="6" t="str">
        <f>INDEX(Données!$F$2:$L$54,MATCH('#1'!E47,Données!$G$2:$G$54,1),1)</f>
        <v>7</v>
      </c>
      <c r="G47" s="18" t="str">
        <f t="shared" si="1"/>
        <v>PS-1</v>
      </c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1"/>
      <c r="W47" s="75"/>
      <c r="X47" s="75"/>
      <c r="Y47" s="75"/>
      <c r="Z47" s="96">
        <f>SUM(Tableau13[[#This Row],[A-1]:[G-5]])</f>
        <v>0</v>
      </c>
      <c r="AA47" s="96" t="str">
        <f>IF(AND(Z47&gt;0,Tableau13[[#This Row],[CDS]]=""),"Oui","Non")</f>
        <v>Non</v>
      </c>
      <c r="AB47" s="75"/>
      <c r="AC47" s="75"/>
      <c r="AD47" s="75"/>
      <c r="AE47" s="75"/>
      <c r="AF47" s="75"/>
      <c r="AG47" s="75"/>
      <c r="AH47" s="75"/>
      <c r="AI47" s="75"/>
      <c r="AJ47" s="81"/>
      <c r="AK47" s="75"/>
      <c r="AL47" s="75"/>
    </row>
    <row r="48" spans="1:38" ht="15.75" hidden="1" thickBot="1" x14ac:dyDescent="0.3">
      <c r="A48" s="75"/>
      <c r="B48" s="75"/>
      <c r="C48" s="35">
        <f>INDEX(Données!$F$2:$L$54,MATCH(F48,Données!$F$2:$F$54,0),2)</f>
        <v>43871</v>
      </c>
      <c r="D48" s="29" t="str">
        <f t="shared" si="0"/>
        <v>#1</v>
      </c>
      <c r="E48" s="7">
        <f>Données!K8</f>
        <v>43875</v>
      </c>
      <c r="F48" s="6" t="str">
        <f>INDEX(Données!$F$2:$L$54,MATCH('#1'!E48,Données!$G$2:$G$54,1),1)</f>
        <v>7</v>
      </c>
      <c r="G48" s="18" t="str">
        <f t="shared" si="1"/>
        <v>PS-1</v>
      </c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1"/>
      <c r="W48" s="75"/>
      <c r="X48" s="75"/>
      <c r="Y48" s="75"/>
      <c r="Z48" s="96">
        <f>SUM(Tableau13[[#This Row],[A-1]:[G-5]])</f>
        <v>0</v>
      </c>
      <c r="AA48" s="96" t="str">
        <f>IF(AND(Z48&gt;0,Tableau13[[#This Row],[CDS]]=""),"Oui","Non")</f>
        <v>Non</v>
      </c>
      <c r="AB48" s="75"/>
      <c r="AC48" s="75"/>
      <c r="AD48" s="75"/>
      <c r="AE48" s="75"/>
      <c r="AF48" s="75"/>
      <c r="AG48" s="75"/>
      <c r="AH48" s="75"/>
      <c r="AI48" s="75"/>
      <c r="AJ48" s="81"/>
      <c r="AK48" s="75"/>
      <c r="AL48" s="75"/>
    </row>
    <row r="49" spans="1:38" ht="15.75" hidden="1" thickBot="1" x14ac:dyDescent="0.3">
      <c r="A49" s="75"/>
      <c r="B49" s="75"/>
      <c r="C49" s="35">
        <f>INDEX(Données!$F$2:$L$54,MATCH(F49,Données!$F$2:$F$54,0),2)</f>
        <v>43871</v>
      </c>
      <c r="D49" s="29" t="str">
        <f t="shared" si="0"/>
        <v>#1</v>
      </c>
      <c r="E49" s="7">
        <f>Données!L8</f>
        <v>43876</v>
      </c>
      <c r="F49" s="6" t="str">
        <f>INDEX(Données!$F$2:$L$54,MATCH('#1'!E49,Données!$G$2:$G$54,1),1)</f>
        <v>7</v>
      </c>
      <c r="G49" s="18" t="str">
        <f t="shared" si="1"/>
        <v>PS-1</v>
      </c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1"/>
      <c r="W49" s="75"/>
      <c r="X49" s="75"/>
      <c r="Y49" s="75"/>
      <c r="Z49" s="96">
        <f>SUM(Tableau13[[#This Row],[A-1]:[G-5]])</f>
        <v>0</v>
      </c>
      <c r="AA49" s="96" t="str">
        <f>IF(AND(Z49&gt;0,Tableau13[[#This Row],[CDS]]=""),"Oui","Non")</f>
        <v>Non</v>
      </c>
      <c r="AB49" s="75"/>
      <c r="AC49" s="75"/>
      <c r="AD49" s="75"/>
      <c r="AE49" s="75"/>
      <c r="AF49" s="75"/>
      <c r="AG49" s="75"/>
      <c r="AH49" s="75"/>
      <c r="AI49" s="75"/>
      <c r="AJ49" s="81"/>
      <c r="AK49" s="75"/>
      <c r="AL49" s="75"/>
    </row>
    <row r="50" spans="1:38" ht="15.75" hidden="1" thickBot="1" x14ac:dyDescent="0.3">
      <c r="A50" s="75"/>
      <c r="B50" s="75"/>
      <c r="C50" s="35">
        <f>INDEX(Données!$F$2:$L$54,MATCH(F50,Données!$F$2:$F$54,0),2)</f>
        <v>43878</v>
      </c>
      <c r="D50" s="29" t="str">
        <f t="shared" si="0"/>
        <v>#1</v>
      </c>
      <c r="E50" s="7">
        <f>Données!G9</f>
        <v>43878</v>
      </c>
      <c r="F50" s="6" t="str">
        <f>INDEX(Données!$F$2:$L$54,MATCH('#1'!E50,Données!$G$2:$G$54,1),1)</f>
        <v>8</v>
      </c>
      <c r="G50" s="18" t="str">
        <f t="shared" si="1"/>
        <v>PS-1</v>
      </c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1"/>
      <c r="W50" s="75"/>
      <c r="X50" s="75"/>
      <c r="Y50" s="75"/>
      <c r="Z50" s="96">
        <f>SUM(Tableau13[[#This Row],[A-1]:[G-5]])</f>
        <v>0</v>
      </c>
      <c r="AA50" s="96" t="str">
        <f>IF(AND(Z50&gt;0,Tableau13[[#This Row],[CDS]]=""),"Oui","Non")</f>
        <v>Non</v>
      </c>
      <c r="AB50" s="75"/>
      <c r="AC50" s="75"/>
      <c r="AD50" s="75"/>
      <c r="AE50" s="75"/>
      <c r="AF50" s="75"/>
      <c r="AG50" s="75"/>
      <c r="AH50" s="75"/>
      <c r="AI50" s="75"/>
      <c r="AJ50" s="81"/>
      <c r="AK50" s="75"/>
      <c r="AL50" s="75"/>
    </row>
    <row r="51" spans="1:38" ht="15.75" hidden="1" thickBot="1" x14ac:dyDescent="0.3">
      <c r="A51" s="75"/>
      <c r="B51" s="75"/>
      <c r="C51" s="35">
        <f>INDEX(Données!$F$2:$L$54,MATCH(F51,Données!$F$2:$F$54,0),2)</f>
        <v>43878</v>
      </c>
      <c r="D51" s="29" t="str">
        <f t="shared" si="0"/>
        <v>#1</v>
      </c>
      <c r="E51" s="7">
        <f>Données!H9</f>
        <v>43879</v>
      </c>
      <c r="F51" s="6" t="str">
        <f>INDEX(Données!$F$2:$L$54,MATCH('#1'!E51,Données!$G$2:$G$54,1),1)</f>
        <v>8</v>
      </c>
      <c r="G51" s="18" t="str">
        <f t="shared" si="1"/>
        <v>PS-1</v>
      </c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1"/>
      <c r="W51" s="75"/>
      <c r="X51" s="75"/>
      <c r="Y51" s="75"/>
      <c r="Z51" s="96">
        <f>SUM(Tableau13[[#This Row],[A-1]:[G-5]])</f>
        <v>0</v>
      </c>
      <c r="AA51" s="96" t="str">
        <f>IF(AND(Z51&gt;0,Tableau13[[#This Row],[CDS]]=""),"Oui","Non")</f>
        <v>Non</v>
      </c>
      <c r="AB51" s="75"/>
      <c r="AC51" s="75"/>
      <c r="AD51" s="75"/>
      <c r="AE51" s="75"/>
      <c r="AF51" s="75"/>
      <c r="AG51" s="75"/>
      <c r="AH51" s="75"/>
      <c r="AI51" s="75"/>
      <c r="AJ51" s="81"/>
      <c r="AK51" s="75"/>
      <c r="AL51" s="75"/>
    </row>
    <row r="52" spans="1:38" ht="15.75" hidden="1" thickBot="1" x14ac:dyDescent="0.3">
      <c r="A52" s="75"/>
      <c r="B52" s="75"/>
      <c r="C52" s="35">
        <f>INDEX(Données!$F$2:$L$54,MATCH(F52,Données!$F$2:$F$54,0),2)</f>
        <v>43878</v>
      </c>
      <c r="D52" s="29" t="str">
        <f t="shared" si="0"/>
        <v>#1</v>
      </c>
      <c r="E52" s="7">
        <f>Données!I9</f>
        <v>43880</v>
      </c>
      <c r="F52" s="6" t="str">
        <f>INDEX(Données!$F$2:$L$54,MATCH('#1'!E52,Données!$G$2:$G$54,1),1)</f>
        <v>8</v>
      </c>
      <c r="G52" s="18" t="str">
        <f t="shared" si="1"/>
        <v>PS-1</v>
      </c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1"/>
      <c r="W52" s="75"/>
      <c r="X52" s="75"/>
      <c r="Y52" s="75"/>
      <c r="Z52" s="96">
        <f>SUM(Tableau13[[#This Row],[A-1]:[G-5]])</f>
        <v>0</v>
      </c>
      <c r="AA52" s="96" t="str">
        <f>IF(AND(Z52&gt;0,Tableau13[[#This Row],[CDS]]=""),"Oui","Non")</f>
        <v>Non</v>
      </c>
      <c r="AB52" s="75"/>
      <c r="AC52" s="75"/>
      <c r="AD52" s="75"/>
      <c r="AE52" s="75"/>
      <c r="AF52" s="75"/>
      <c r="AG52" s="75"/>
      <c r="AH52" s="75"/>
      <c r="AI52" s="75"/>
      <c r="AJ52" s="81"/>
      <c r="AK52" s="75"/>
      <c r="AL52" s="75"/>
    </row>
    <row r="53" spans="1:38" ht="15.75" hidden="1" thickBot="1" x14ac:dyDescent="0.3">
      <c r="A53" s="75"/>
      <c r="B53" s="75"/>
      <c r="C53" s="35">
        <f>INDEX(Données!$F$2:$L$54,MATCH(F53,Données!$F$2:$F$54,0),2)</f>
        <v>43878</v>
      </c>
      <c r="D53" s="29" t="str">
        <f t="shared" si="0"/>
        <v>#1</v>
      </c>
      <c r="E53" s="7">
        <f>Données!J9</f>
        <v>43881</v>
      </c>
      <c r="F53" s="6" t="str">
        <f>INDEX(Données!$F$2:$L$54,MATCH('#1'!E53,Données!$G$2:$G$54,1),1)</f>
        <v>8</v>
      </c>
      <c r="G53" s="18" t="str">
        <f t="shared" si="1"/>
        <v>PS-1</v>
      </c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1"/>
      <c r="W53" s="75"/>
      <c r="X53" s="75"/>
      <c r="Y53" s="75"/>
      <c r="Z53" s="96">
        <f>SUM(Tableau13[[#This Row],[A-1]:[G-5]])</f>
        <v>0</v>
      </c>
      <c r="AA53" s="96" t="str">
        <f>IF(AND(Z53&gt;0,Tableau13[[#This Row],[CDS]]=""),"Oui","Non")</f>
        <v>Non</v>
      </c>
      <c r="AB53" s="75"/>
      <c r="AC53" s="75"/>
      <c r="AD53" s="75"/>
      <c r="AE53" s="75"/>
      <c r="AF53" s="75"/>
      <c r="AG53" s="75"/>
      <c r="AH53" s="75"/>
      <c r="AI53" s="75"/>
      <c r="AJ53" s="81"/>
      <c r="AK53" s="75"/>
      <c r="AL53" s="75"/>
    </row>
    <row r="54" spans="1:38" ht="15.75" hidden="1" thickBot="1" x14ac:dyDescent="0.3">
      <c r="A54" s="75"/>
      <c r="B54" s="75"/>
      <c r="C54" s="35">
        <f>INDEX(Données!$F$2:$L$54,MATCH(F54,Données!$F$2:$F$54,0),2)</f>
        <v>43878</v>
      </c>
      <c r="D54" s="29" t="str">
        <f t="shared" si="0"/>
        <v>#1</v>
      </c>
      <c r="E54" s="7">
        <f>Données!K9</f>
        <v>43882</v>
      </c>
      <c r="F54" s="6" t="str">
        <f>INDEX(Données!$F$2:$L$54,MATCH('#1'!E54,Données!$G$2:$G$54,1),1)</f>
        <v>8</v>
      </c>
      <c r="G54" s="18" t="str">
        <f t="shared" si="1"/>
        <v>PS-1</v>
      </c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1"/>
      <c r="W54" s="75"/>
      <c r="X54" s="75"/>
      <c r="Y54" s="75"/>
      <c r="Z54" s="96">
        <f>SUM(Tableau13[[#This Row],[A-1]:[G-5]])</f>
        <v>0</v>
      </c>
      <c r="AA54" s="96" t="str">
        <f>IF(AND(Z54&gt;0,Tableau13[[#This Row],[CDS]]=""),"Oui","Non")</f>
        <v>Non</v>
      </c>
      <c r="AB54" s="75"/>
      <c r="AC54" s="75"/>
      <c r="AD54" s="75"/>
      <c r="AE54" s="75"/>
      <c r="AF54" s="75"/>
      <c r="AG54" s="75"/>
      <c r="AH54" s="75"/>
      <c r="AI54" s="75"/>
      <c r="AJ54" s="81"/>
      <c r="AK54" s="75"/>
      <c r="AL54" s="75"/>
    </row>
    <row r="55" spans="1:38" ht="15.75" hidden="1" thickBot="1" x14ac:dyDescent="0.3">
      <c r="A55" s="75"/>
      <c r="B55" s="75"/>
      <c r="C55" s="35">
        <f>INDEX(Données!$F$2:$L$54,MATCH(F55,Données!$F$2:$F$54,0),2)</f>
        <v>43878</v>
      </c>
      <c r="D55" s="29" t="str">
        <f t="shared" si="0"/>
        <v>#1</v>
      </c>
      <c r="E55" s="7">
        <f>Données!L9</f>
        <v>43883</v>
      </c>
      <c r="F55" s="6" t="str">
        <f>INDEX(Données!$F$2:$L$54,MATCH('#1'!E55,Données!$G$2:$G$54,1),1)</f>
        <v>8</v>
      </c>
      <c r="G55" s="18" t="str">
        <f t="shared" si="1"/>
        <v>PS-1</v>
      </c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1"/>
      <c r="W55" s="75"/>
      <c r="X55" s="75"/>
      <c r="Y55" s="75"/>
      <c r="Z55" s="96">
        <f>SUM(Tableau13[[#This Row],[A-1]:[G-5]])</f>
        <v>0</v>
      </c>
      <c r="AA55" s="96" t="str">
        <f>IF(AND(Z55&gt;0,Tableau13[[#This Row],[CDS]]=""),"Oui","Non")</f>
        <v>Non</v>
      </c>
      <c r="AB55" s="75"/>
      <c r="AC55" s="75"/>
      <c r="AD55" s="75"/>
      <c r="AE55" s="75"/>
      <c r="AF55" s="75"/>
      <c r="AG55" s="75"/>
      <c r="AH55" s="75"/>
      <c r="AI55" s="75"/>
      <c r="AJ55" s="81"/>
      <c r="AK55" s="75"/>
      <c r="AL55" s="75"/>
    </row>
    <row r="56" spans="1:38" ht="15.75" hidden="1" thickBot="1" x14ac:dyDescent="0.3">
      <c r="A56" s="75"/>
      <c r="B56" s="75"/>
      <c r="C56" s="35">
        <f>INDEX(Données!$F$2:$L$54,MATCH(F56,Données!$F$2:$F$54,0),2)</f>
        <v>43885</v>
      </c>
      <c r="D56" s="29" t="str">
        <f t="shared" si="0"/>
        <v>#1</v>
      </c>
      <c r="E56" s="7">
        <f>Données!G10</f>
        <v>43885</v>
      </c>
      <c r="F56" s="6" t="str">
        <f>INDEX(Données!$F$2:$L$54,MATCH('#1'!E56,Données!$G$2:$G$54,1),1)</f>
        <v>9</v>
      </c>
      <c r="G56" s="18" t="str">
        <f t="shared" si="1"/>
        <v>PS-1</v>
      </c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1"/>
      <c r="W56" s="75"/>
      <c r="X56" s="75"/>
      <c r="Y56" s="75"/>
      <c r="Z56" s="96">
        <f>SUM(Tableau13[[#This Row],[A-1]:[G-5]])</f>
        <v>0</v>
      </c>
      <c r="AA56" s="96" t="str">
        <f>IF(AND(Z56&gt;0,Tableau13[[#This Row],[CDS]]=""),"Oui","Non")</f>
        <v>Non</v>
      </c>
      <c r="AB56" s="75"/>
      <c r="AC56" s="75"/>
      <c r="AD56" s="75"/>
      <c r="AE56" s="75"/>
      <c r="AF56" s="75"/>
      <c r="AG56" s="75"/>
      <c r="AH56" s="75"/>
      <c r="AI56" s="75"/>
      <c r="AJ56" s="81"/>
      <c r="AK56" s="75"/>
      <c r="AL56" s="75"/>
    </row>
    <row r="57" spans="1:38" ht="15.75" hidden="1" thickBot="1" x14ac:dyDescent="0.3">
      <c r="A57" s="75"/>
      <c r="B57" s="75"/>
      <c r="C57" s="35">
        <f>INDEX(Données!$F$2:$L$54,MATCH(F57,Données!$F$2:$F$54,0),2)</f>
        <v>43885</v>
      </c>
      <c r="D57" s="29" t="str">
        <f t="shared" si="0"/>
        <v>#1</v>
      </c>
      <c r="E57" s="7">
        <f>Données!H10</f>
        <v>43886</v>
      </c>
      <c r="F57" s="6" t="str">
        <f>INDEX(Données!$F$2:$L$54,MATCH('#1'!E57,Données!$G$2:$G$54,1),1)</f>
        <v>9</v>
      </c>
      <c r="G57" s="18" t="str">
        <f t="shared" si="1"/>
        <v>PS-1</v>
      </c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1"/>
      <c r="W57" s="75"/>
      <c r="X57" s="75"/>
      <c r="Y57" s="75"/>
      <c r="Z57" s="96">
        <f>SUM(Tableau13[[#This Row],[A-1]:[G-5]])</f>
        <v>0</v>
      </c>
      <c r="AA57" s="96" t="str">
        <f>IF(AND(Z57&gt;0,Tableau13[[#This Row],[CDS]]=""),"Oui","Non")</f>
        <v>Non</v>
      </c>
      <c r="AB57" s="75"/>
      <c r="AC57" s="75"/>
      <c r="AD57" s="75"/>
      <c r="AE57" s="75"/>
      <c r="AF57" s="75"/>
      <c r="AG57" s="75"/>
      <c r="AH57" s="75"/>
      <c r="AI57" s="75"/>
      <c r="AJ57" s="81"/>
      <c r="AK57" s="75"/>
      <c r="AL57" s="75"/>
    </row>
    <row r="58" spans="1:38" ht="15.75" hidden="1" thickBot="1" x14ac:dyDescent="0.3">
      <c r="A58" s="75"/>
      <c r="B58" s="75"/>
      <c r="C58" s="35">
        <f>INDEX(Données!$F$2:$L$54,MATCH(F58,Données!$F$2:$F$54,0),2)</f>
        <v>43885</v>
      </c>
      <c r="D58" s="29" t="str">
        <f t="shared" si="0"/>
        <v>#1</v>
      </c>
      <c r="E58" s="7">
        <f>Données!I10</f>
        <v>43887</v>
      </c>
      <c r="F58" s="6" t="str">
        <f>INDEX(Données!$F$2:$L$54,MATCH('#1'!E58,Données!$G$2:$G$54,1),1)</f>
        <v>9</v>
      </c>
      <c r="G58" s="18" t="str">
        <f t="shared" si="1"/>
        <v>PS-1</v>
      </c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1"/>
      <c r="W58" s="75"/>
      <c r="X58" s="75"/>
      <c r="Y58" s="75"/>
      <c r="Z58" s="96">
        <f>SUM(Tableau13[[#This Row],[A-1]:[G-5]])</f>
        <v>0</v>
      </c>
      <c r="AA58" s="96" t="str">
        <f>IF(AND(Z58&gt;0,Tableau13[[#This Row],[CDS]]=""),"Oui","Non")</f>
        <v>Non</v>
      </c>
      <c r="AB58" s="75"/>
      <c r="AC58" s="75"/>
      <c r="AD58" s="75"/>
      <c r="AE58" s="75"/>
      <c r="AF58" s="75"/>
      <c r="AG58" s="75"/>
      <c r="AH58" s="75"/>
      <c r="AI58" s="75"/>
      <c r="AJ58" s="81"/>
      <c r="AK58" s="75"/>
      <c r="AL58" s="75"/>
    </row>
    <row r="59" spans="1:38" ht="15.75" hidden="1" thickBot="1" x14ac:dyDescent="0.3">
      <c r="A59" s="75"/>
      <c r="B59" s="75"/>
      <c r="C59" s="35">
        <f>INDEX(Données!$F$2:$L$54,MATCH(F59,Données!$F$2:$F$54,0),2)</f>
        <v>43885</v>
      </c>
      <c r="D59" s="29" t="str">
        <f t="shared" si="0"/>
        <v>#1</v>
      </c>
      <c r="E59" s="7">
        <f>Données!J10</f>
        <v>43888</v>
      </c>
      <c r="F59" s="6" t="str">
        <f>INDEX(Données!$F$2:$L$54,MATCH('#1'!E59,Données!$G$2:$G$54,1),1)</f>
        <v>9</v>
      </c>
      <c r="G59" s="18" t="str">
        <f t="shared" si="1"/>
        <v>PS-1</v>
      </c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1"/>
      <c r="W59" s="75"/>
      <c r="X59" s="75"/>
      <c r="Y59" s="75"/>
      <c r="Z59" s="96">
        <f>SUM(Tableau13[[#This Row],[A-1]:[G-5]])</f>
        <v>0</v>
      </c>
      <c r="AA59" s="96" t="str">
        <f>IF(AND(Z59&gt;0,Tableau13[[#This Row],[CDS]]=""),"Oui","Non")</f>
        <v>Non</v>
      </c>
      <c r="AB59" s="75"/>
      <c r="AC59" s="75"/>
      <c r="AD59" s="75"/>
      <c r="AE59" s="75"/>
      <c r="AF59" s="75"/>
      <c r="AG59" s="75"/>
      <c r="AH59" s="75"/>
      <c r="AI59" s="75"/>
      <c r="AJ59" s="81"/>
      <c r="AK59" s="75"/>
      <c r="AL59" s="75"/>
    </row>
    <row r="60" spans="1:38" ht="15.75" hidden="1" thickBot="1" x14ac:dyDescent="0.3">
      <c r="A60" s="75"/>
      <c r="B60" s="75"/>
      <c r="C60" s="35">
        <f>INDEX(Données!$F$2:$L$54,MATCH(F60,Données!$F$2:$F$54,0),2)</f>
        <v>43885</v>
      </c>
      <c r="D60" s="29" t="str">
        <f t="shared" si="0"/>
        <v>#1</v>
      </c>
      <c r="E60" s="7">
        <f>Données!K10</f>
        <v>43889</v>
      </c>
      <c r="F60" s="6" t="str">
        <f>INDEX(Données!$F$2:$L$54,MATCH('#1'!E60,Données!$G$2:$G$54,1),1)</f>
        <v>9</v>
      </c>
      <c r="G60" s="18" t="str">
        <f t="shared" si="1"/>
        <v>PS-1</v>
      </c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1"/>
      <c r="W60" s="75"/>
      <c r="X60" s="75"/>
      <c r="Y60" s="75"/>
      <c r="Z60" s="96">
        <f>SUM(Tableau13[[#This Row],[A-1]:[G-5]])</f>
        <v>0</v>
      </c>
      <c r="AA60" s="96" t="str">
        <f>IF(AND(Z60&gt;0,Tableau13[[#This Row],[CDS]]=""),"Oui","Non")</f>
        <v>Non</v>
      </c>
      <c r="AB60" s="75"/>
      <c r="AC60" s="75"/>
      <c r="AD60" s="75"/>
      <c r="AE60" s="75"/>
      <c r="AF60" s="75"/>
      <c r="AG60" s="75"/>
      <c r="AH60" s="75"/>
      <c r="AI60" s="75"/>
      <c r="AJ60" s="81"/>
      <c r="AK60" s="75"/>
      <c r="AL60" s="75"/>
    </row>
    <row r="61" spans="1:38" ht="15.75" hidden="1" thickBot="1" x14ac:dyDescent="0.3">
      <c r="A61" s="75"/>
      <c r="B61" s="75"/>
      <c r="C61" s="35">
        <f>INDEX(Données!$F$2:$L$54,MATCH(F61,Données!$F$2:$F$54,0),2)</f>
        <v>43885</v>
      </c>
      <c r="D61" s="29" t="str">
        <f t="shared" si="0"/>
        <v>#1</v>
      </c>
      <c r="E61" s="7">
        <f>Données!L10</f>
        <v>43890</v>
      </c>
      <c r="F61" s="6" t="str">
        <f>INDEX(Données!$F$2:$L$54,MATCH('#1'!E61,Données!$G$2:$G$54,1),1)</f>
        <v>9</v>
      </c>
      <c r="G61" s="18" t="str">
        <f t="shared" si="1"/>
        <v>PS-1</v>
      </c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1"/>
      <c r="W61" s="75"/>
      <c r="X61" s="75"/>
      <c r="Y61" s="75"/>
      <c r="Z61" s="96">
        <f>SUM(Tableau13[[#This Row],[A-1]:[G-5]])</f>
        <v>0</v>
      </c>
      <c r="AA61" s="96" t="str">
        <f>IF(AND(Z61&gt;0,Tableau13[[#This Row],[CDS]]=""),"Oui","Non")</f>
        <v>Non</v>
      </c>
      <c r="AB61" s="75"/>
      <c r="AC61" s="75"/>
      <c r="AD61" s="75"/>
      <c r="AE61" s="75"/>
      <c r="AF61" s="75"/>
      <c r="AG61" s="75"/>
      <c r="AH61" s="75"/>
      <c r="AI61" s="75"/>
      <c r="AJ61" s="81"/>
      <c r="AK61" s="75"/>
      <c r="AL61" s="75"/>
    </row>
    <row r="62" spans="1:38" ht="15.75" hidden="1" thickBot="1" x14ac:dyDescent="0.3">
      <c r="A62" s="75"/>
      <c r="B62" s="75"/>
      <c r="C62" s="35">
        <f>INDEX(Données!$F$2:$L$54,MATCH(F62,Données!$F$2:$F$54,0),2)</f>
        <v>43892</v>
      </c>
      <c r="D62" s="29" t="str">
        <f t="shared" si="0"/>
        <v>#1</v>
      </c>
      <c r="E62" s="7">
        <f>Données!G11</f>
        <v>43892</v>
      </c>
      <c r="F62" s="6" t="str">
        <f>INDEX(Données!$F$2:$L$54,MATCH('#1'!E62,Données!$G$2:$G$54,1),1)</f>
        <v>10</v>
      </c>
      <c r="G62" s="18" t="str">
        <f t="shared" si="1"/>
        <v>PS-1</v>
      </c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1"/>
      <c r="W62" s="75"/>
      <c r="X62" s="75"/>
      <c r="Y62" s="75"/>
      <c r="Z62" s="96">
        <f>SUM(Tableau13[[#This Row],[A-1]:[G-5]])</f>
        <v>0</v>
      </c>
      <c r="AA62" s="96" t="str">
        <f>IF(AND(Z62&gt;0,Tableau13[[#This Row],[CDS]]=""),"Oui","Non")</f>
        <v>Non</v>
      </c>
      <c r="AB62" s="75"/>
      <c r="AC62" s="75"/>
      <c r="AD62" s="75"/>
      <c r="AE62" s="75"/>
      <c r="AF62" s="75"/>
      <c r="AG62" s="75"/>
      <c r="AH62" s="75"/>
      <c r="AI62" s="75"/>
      <c r="AJ62" s="81"/>
      <c r="AK62" s="75"/>
      <c r="AL62" s="75"/>
    </row>
    <row r="63" spans="1:38" ht="15.75" hidden="1" thickBot="1" x14ac:dyDescent="0.3">
      <c r="A63" s="75"/>
      <c r="B63" s="75"/>
      <c r="C63" s="35">
        <f>INDEX(Données!$F$2:$L$54,MATCH(F63,Données!$F$2:$F$54,0),2)</f>
        <v>43892</v>
      </c>
      <c r="D63" s="29" t="str">
        <f t="shared" si="0"/>
        <v>#1</v>
      </c>
      <c r="E63" s="7">
        <f>Données!H11</f>
        <v>43893</v>
      </c>
      <c r="F63" s="6" t="str">
        <f>INDEX(Données!$F$2:$L$54,MATCH('#1'!E63,Données!$G$2:$G$54,1),1)</f>
        <v>10</v>
      </c>
      <c r="G63" s="18" t="str">
        <f t="shared" si="1"/>
        <v>PS-1</v>
      </c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1"/>
      <c r="W63" s="75"/>
      <c r="X63" s="75"/>
      <c r="Y63" s="75"/>
      <c r="Z63" s="96">
        <f>SUM(Tableau13[[#This Row],[A-1]:[G-5]])</f>
        <v>0</v>
      </c>
      <c r="AA63" s="96" t="str">
        <f>IF(AND(Z63&gt;0,Tableau13[[#This Row],[CDS]]=""),"Oui","Non")</f>
        <v>Non</v>
      </c>
      <c r="AB63" s="75"/>
      <c r="AC63" s="75"/>
      <c r="AD63" s="75"/>
      <c r="AE63" s="75"/>
      <c r="AF63" s="75"/>
      <c r="AG63" s="75"/>
      <c r="AH63" s="75"/>
      <c r="AI63" s="75"/>
      <c r="AJ63" s="81"/>
      <c r="AK63" s="75"/>
      <c r="AL63" s="75"/>
    </row>
    <row r="64" spans="1:38" ht="15.75" hidden="1" thickBot="1" x14ac:dyDescent="0.3">
      <c r="A64" s="75"/>
      <c r="B64" s="75"/>
      <c r="C64" s="35">
        <f>INDEX(Données!$F$2:$L$54,MATCH(F64,Données!$F$2:$F$54,0),2)</f>
        <v>43892</v>
      </c>
      <c r="D64" s="29" t="str">
        <f t="shared" si="0"/>
        <v>#1</v>
      </c>
      <c r="E64" s="7">
        <f>Données!I11</f>
        <v>43894</v>
      </c>
      <c r="F64" s="6" t="str">
        <f>INDEX(Données!$F$2:$L$54,MATCH('#1'!E64,Données!$G$2:$G$54,1),1)</f>
        <v>10</v>
      </c>
      <c r="G64" s="18" t="str">
        <f t="shared" si="1"/>
        <v>PS-1</v>
      </c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1"/>
      <c r="W64" s="75"/>
      <c r="X64" s="75"/>
      <c r="Y64" s="75"/>
      <c r="Z64" s="96">
        <f>SUM(Tableau13[[#This Row],[A-1]:[G-5]])</f>
        <v>0</v>
      </c>
      <c r="AA64" s="96" t="str">
        <f>IF(AND(Z64&gt;0,Tableau13[[#This Row],[CDS]]=""),"Oui","Non")</f>
        <v>Non</v>
      </c>
      <c r="AB64" s="75"/>
      <c r="AC64" s="75"/>
      <c r="AD64" s="75"/>
      <c r="AE64" s="75"/>
      <c r="AF64" s="75"/>
      <c r="AG64" s="75"/>
      <c r="AH64" s="75"/>
      <c r="AI64" s="75"/>
      <c r="AJ64" s="81"/>
      <c r="AK64" s="75"/>
      <c r="AL64" s="75"/>
    </row>
    <row r="65" spans="1:38" ht="15.75" hidden="1" thickBot="1" x14ac:dyDescent="0.3">
      <c r="A65" s="75"/>
      <c r="B65" s="75"/>
      <c r="C65" s="35">
        <f>INDEX(Données!$F$2:$L$54,MATCH(F65,Données!$F$2:$F$54,0),2)</f>
        <v>43892</v>
      </c>
      <c r="D65" s="29" t="str">
        <f t="shared" si="0"/>
        <v>#1</v>
      </c>
      <c r="E65" s="7">
        <f>Données!J11</f>
        <v>43895</v>
      </c>
      <c r="F65" s="6" t="str">
        <f>INDEX(Données!$F$2:$L$54,MATCH('#1'!E65,Données!$G$2:$G$54,1),1)</f>
        <v>10</v>
      </c>
      <c r="G65" s="18" t="str">
        <f t="shared" si="1"/>
        <v>PS-1</v>
      </c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1"/>
      <c r="W65" s="75"/>
      <c r="X65" s="75"/>
      <c r="Y65" s="75"/>
      <c r="Z65" s="96">
        <f>SUM(Tableau13[[#This Row],[A-1]:[G-5]])</f>
        <v>0</v>
      </c>
      <c r="AA65" s="96" t="str">
        <f>IF(AND(Z65&gt;0,Tableau13[[#This Row],[CDS]]=""),"Oui","Non")</f>
        <v>Non</v>
      </c>
      <c r="AB65" s="75"/>
      <c r="AC65" s="75"/>
      <c r="AD65" s="75"/>
      <c r="AE65" s="75"/>
      <c r="AF65" s="75"/>
      <c r="AG65" s="75"/>
      <c r="AH65" s="75"/>
      <c r="AI65" s="75"/>
      <c r="AJ65" s="81"/>
      <c r="AK65" s="75"/>
      <c r="AL65" s="75"/>
    </row>
    <row r="66" spans="1:38" ht="15.75" hidden="1" thickBot="1" x14ac:dyDescent="0.3">
      <c r="A66" s="75"/>
      <c r="B66" s="75"/>
      <c r="C66" s="35">
        <f>INDEX(Données!$F$2:$L$54,MATCH(F66,Données!$F$2:$F$54,0),2)</f>
        <v>43892</v>
      </c>
      <c r="D66" s="29" t="str">
        <f t="shared" si="0"/>
        <v>#1</v>
      </c>
      <c r="E66" s="7">
        <f>Données!K11</f>
        <v>43896</v>
      </c>
      <c r="F66" s="6" t="str">
        <f>INDEX(Données!$F$2:$L$54,MATCH('#1'!E66,Données!$G$2:$G$54,1),1)</f>
        <v>10</v>
      </c>
      <c r="G66" s="18" t="str">
        <f t="shared" si="1"/>
        <v>PS-1</v>
      </c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1"/>
      <c r="W66" s="75"/>
      <c r="X66" s="75"/>
      <c r="Y66" s="75"/>
      <c r="Z66" s="96">
        <f>SUM(Tableau13[[#This Row],[A-1]:[G-5]])</f>
        <v>0</v>
      </c>
      <c r="AA66" s="96" t="str">
        <f>IF(AND(Z66&gt;0,Tableau13[[#This Row],[CDS]]=""),"Oui","Non")</f>
        <v>Non</v>
      </c>
      <c r="AB66" s="75"/>
      <c r="AC66" s="75"/>
      <c r="AD66" s="75"/>
      <c r="AE66" s="75"/>
      <c r="AF66" s="75"/>
      <c r="AG66" s="75"/>
      <c r="AH66" s="75"/>
      <c r="AI66" s="75"/>
      <c r="AJ66" s="81"/>
      <c r="AK66" s="75"/>
      <c r="AL66" s="75"/>
    </row>
    <row r="67" spans="1:38" ht="15.75" hidden="1" thickBot="1" x14ac:dyDescent="0.3">
      <c r="A67" s="75"/>
      <c r="B67" s="75"/>
      <c r="C67" s="35">
        <f>INDEX(Données!$F$2:$L$54,MATCH(F67,Données!$F$2:$F$54,0),2)</f>
        <v>43892</v>
      </c>
      <c r="D67" s="29" t="str">
        <f t="shared" si="0"/>
        <v>#1</v>
      </c>
      <c r="E67" s="7">
        <f>Données!L11</f>
        <v>43897</v>
      </c>
      <c r="F67" s="6" t="str">
        <f>INDEX(Données!$F$2:$L$54,MATCH('#1'!E67,Données!$G$2:$G$54,1),1)</f>
        <v>10</v>
      </c>
      <c r="G67" s="18" t="str">
        <f t="shared" si="1"/>
        <v>PS-1</v>
      </c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1"/>
      <c r="W67" s="75"/>
      <c r="X67" s="75"/>
      <c r="Y67" s="75"/>
      <c r="Z67" s="96">
        <f>SUM(Tableau13[[#This Row],[A-1]:[G-5]])</f>
        <v>0</v>
      </c>
      <c r="AA67" s="96" t="str">
        <f>IF(AND(Z67&gt;0,Tableau13[[#This Row],[CDS]]=""),"Oui","Non")</f>
        <v>Non</v>
      </c>
      <c r="AB67" s="75"/>
      <c r="AC67" s="75"/>
      <c r="AD67" s="75"/>
      <c r="AE67" s="75"/>
      <c r="AF67" s="75"/>
      <c r="AG67" s="75"/>
      <c r="AH67" s="75"/>
      <c r="AI67" s="75"/>
      <c r="AJ67" s="81"/>
      <c r="AK67" s="75"/>
      <c r="AL67" s="75"/>
    </row>
    <row r="68" spans="1:38" ht="15.75" hidden="1" thickBot="1" x14ac:dyDescent="0.3">
      <c r="A68" s="75"/>
      <c r="B68" s="75"/>
      <c r="C68" s="35">
        <f>INDEX(Données!$F$2:$L$54,MATCH(F68,Données!$F$2:$F$54,0),2)</f>
        <v>43899</v>
      </c>
      <c r="D68" s="29" t="str">
        <f t="shared" si="0"/>
        <v>#1</v>
      </c>
      <c r="E68" s="7">
        <f>Données!G12</f>
        <v>43899</v>
      </c>
      <c r="F68" s="6" t="str">
        <f>INDEX(Données!$F$2:$L$54,MATCH('#1'!E68,Données!$G$2:$G$54,1),1)</f>
        <v>11</v>
      </c>
      <c r="G68" s="18" t="str">
        <f t="shared" si="1"/>
        <v>PS-1</v>
      </c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1"/>
      <c r="W68" s="75"/>
      <c r="X68" s="75"/>
      <c r="Y68" s="75"/>
      <c r="Z68" s="96">
        <f>SUM(Tableau13[[#This Row],[A-1]:[G-5]])</f>
        <v>0</v>
      </c>
      <c r="AA68" s="96" t="str">
        <f>IF(AND(Z68&gt;0,Tableau13[[#This Row],[CDS]]=""),"Oui","Non")</f>
        <v>Non</v>
      </c>
      <c r="AB68" s="75"/>
      <c r="AC68" s="75"/>
      <c r="AD68" s="75"/>
      <c r="AE68" s="75"/>
      <c r="AF68" s="75"/>
      <c r="AG68" s="75"/>
      <c r="AH68" s="75"/>
      <c r="AI68" s="75"/>
      <c r="AJ68" s="81"/>
      <c r="AK68" s="75"/>
      <c r="AL68" s="75"/>
    </row>
    <row r="69" spans="1:38" ht="15.75" hidden="1" thickBot="1" x14ac:dyDescent="0.3">
      <c r="A69" s="75"/>
      <c r="B69" s="75"/>
      <c r="C69" s="35">
        <f>INDEX(Données!$F$2:$L$54,MATCH(F69,Données!$F$2:$F$54,0),2)</f>
        <v>43899</v>
      </c>
      <c r="D69" s="29" t="str">
        <f t="shared" si="0"/>
        <v>#1</v>
      </c>
      <c r="E69" s="7">
        <f>Données!H12</f>
        <v>43900</v>
      </c>
      <c r="F69" s="6" t="str">
        <f>INDEX(Données!$F$2:$L$54,MATCH('#1'!E69,Données!$G$2:$G$54,1),1)</f>
        <v>11</v>
      </c>
      <c r="G69" s="18" t="str">
        <f t="shared" si="1"/>
        <v>PS-1</v>
      </c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1"/>
      <c r="W69" s="75"/>
      <c r="X69" s="75"/>
      <c r="Y69" s="75"/>
      <c r="Z69" s="96">
        <f>SUM(Tableau13[[#This Row],[A-1]:[G-5]])</f>
        <v>0</v>
      </c>
      <c r="AA69" s="96" t="str">
        <f>IF(AND(Z69&gt;0,Tableau13[[#This Row],[CDS]]=""),"Oui","Non")</f>
        <v>Non</v>
      </c>
      <c r="AB69" s="75"/>
      <c r="AC69" s="75"/>
      <c r="AD69" s="75"/>
      <c r="AE69" s="75"/>
      <c r="AF69" s="75"/>
      <c r="AG69" s="75"/>
      <c r="AH69" s="75"/>
      <c r="AI69" s="75"/>
      <c r="AJ69" s="81"/>
      <c r="AK69" s="75"/>
      <c r="AL69" s="75"/>
    </row>
    <row r="70" spans="1:38" ht="15.75" hidden="1" thickBot="1" x14ac:dyDescent="0.3">
      <c r="A70" s="75"/>
      <c r="B70" s="75"/>
      <c r="C70" s="35">
        <f>INDEX(Données!$F$2:$L$54,MATCH(F70,Données!$F$2:$F$54,0),2)</f>
        <v>43899</v>
      </c>
      <c r="D70" s="29" t="str">
        <f t="shared" si="0"/>
        <v>#1</v>
      </c>
      <c r="E70" s="7">
        <f>Données!I12</f>
        <v>43901</v>
      </c>
      <c r="F70" s="6" t="str">
        <f>INDEX(Données!$F$2:$L$54,MATCH('#1'!E70,Données!$G$2:$G$54,1),1)</f>
        <v>11</v>
      </c>
      <c r="G70" s="18" t="str">
        <f t="shared" si="1"/>
        <v>PS-1</v>
      </c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1"/>
      <c r="W70" s="75"/>
      <c r="X70" s="75"/>
      <c r="Y70" s="75"/>
      <c r="Z70" s="96">
        <f>SUM(Tableau13[[#This Row],[A-1]:[G-5]])</f>
        <v>0</v>
      </c>
      <c r="AA70" s="96" t="str">
        <f>IF(AND(Z70&gt;0,Tableau13[[#This Row],[CDS]]=""),"Oui","Non")</f>
        <v>Non</v>
      </c>
      <c r="AB70" s="75"/>
      <c r="AC70" s="75"/>
      <c r="AD70" s="75"/>
      <c r="AE70" s="75"/>
      <c r="AF70" s="75"/>
      <c r="AG70" s="75"/>
      <c r="AH70" s="75"/>
      <c r="AI70" s="75"/>
      <c r="AJ70" s="81"/>
      <c r="AK70" s="75"/>
      <c r="AL70" s="75"/>
    </row>
    <row r="71" spans="1:38" ht="15.75" hidden="1" thickBot="1" x14ac:dyDescent="0.3">
      <c r="A71" s="75"/>
      <c r="B71" s="75"/>
      <c r="C71" s="35">
        <f>INDEX(Données!$F$2:$L$54,MATCH(F71,Données!$F$2:$F$54,0),2)</f>
        <v>43899</v>
      </c>
      <c r="D71" s="29" t="str">
        <f t="shared" si="0"/>
        <v>#1</v>
      </c>
      <c r="E71" s="7">
        <f>Données!J12</f>
        <v>43902</v>
      </c>
      <c r="F71" s="6" t="str">
        <f>INDEX(Données!$F$2:$L$54,MATCH('#1'!E71,Données!$G$2:$G$54,1),1)</f>
        <v>11</v>
      </c>
      <c r="G71" s="18" t="str">
        <f t="shared" si="1"/>
        <v>PS-1</v>
      </c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1"/>
      <c r="W71" s="75"/>
      <c r="X71" s="75"/>
      <c r="Y71" s="75"/>
      <c r="Z71" s="96">
        <f>SUM(Tableau13[[#This Row],[A-1]:[G-5]])</f>
        <v>0</v>
      </c>
      <c r="AA71" s="96" t="str">
        <f>IF(AND(Z71&gt;0,Tableau13[[#This Row],[CDS]]=""),"Oui","Non")</f>
        <v>Non</v>
      </c>
      <c r="AB71" s="75"/>
      <c r="AC71" s="75"/>
      <c r="AD71" s="75"/>
      <c r="AE71" s="75"/>
      <c r="AF71" s="75"/>
      <c r="AG71" s="75"/>
      <c r="AH71" s="75"/>
      <c r="AI71" s="75"/>
      <c r="AJ71" s="81"/>
      <c r="AK71" s="75"/>
      <c r="AL71" s="75"/>
    </row>
    <row r="72" spans="1:38" ht="15.75" hidden="1" thickBot="1" x14ac:dyDescent="0.3">
      <c r="A72" s="75"/>
      <c r="B72" s="75"/>
      <c r="C72" s="35">
        <f>INDEX(Données!$F$2:$L$54,MATCH(F72,Données!$F$2:$F$54,0),2)</f>
        <v>43899</v>
      </c>
      <c r="D72" s="29" t="str">
        <f t="shared" ref="D72:D135" si="2">$E$4</f>
        <v>#1</v>
      </c>
      <c r="E72" s="7">
        <f>Données!K12</f>
        <v>43903</v>
      </c>
      <c r="F72" s="6" t="str">
        <f>INDEX(Données!$F$2:$L$54,MATCH('#1'!E72,Données!$G$2:$G$54,1),1)</f>
        <v>11</v>
      </c>
      <c r="G72" s="18" t="str">
        <f t="shared" ref="G72:G135" si="3">IF(AND($V$5=1),"PS-1",IF(AND($V$5=2),"PS-2",IF(AND($V$5=4),"PS-4",IF(AND($V$5=6),"S.O.",IF(AND($V$5=5),"")))))</f>
        <v>PS-1</v>
      </c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1"/>
      <c r="W72" s="75"/>
      <c r="X72" s="75"/>
      <c r="Y72" s="75"/>
      <c r="Z72" s="96">
        <f>SUM(Tableau13[[#This Row],[A-1]:[G-5]])</f>
        <v>0</v>
      </c>
      <c r="AA72" s="96" t="str">
        <f>IF(AND(Z72&gt;0,Tableau13[[#This Row],[CDS]]=""),"Oui","Non")</f>
        <v>Non</v>
      </c>
      <c r="AB72" s="75"/>
      <c r="AC72" s="75"/>
      <c r="AD72" s="75"/>
      <c r="AE72" s="75"/>
      <c r="AF72" s="75"/>
      <c r="AG72" s="75"/>
      <c r="AH72" s="75"/>
      <c r="AI72" s="75"/>
      <c r="AJ72" s="81"/>
      <c r="AK72" s="75"/>
      <c r="AL72" s="75"/>
    </row>
    <row r="73" spans="1:38" ht="15.75" hidden="1" thickBot="1" x14ac:dyDescent="0.3">
      <c r="A73" s="75"/>
      <c r="B73" s="75"/>
      <c r="C73" s="35">
        <f>INDEX(Données!$F$2:$L$54,MATCH(F73,Données!$F$2:$F$54,0),2)</f>
        <v>43899</v>
      </c>
      <c r="D73" s="29" t="str">
        <f t="shared" si="2"/>
        <v>#1</v>
      </c>
      <c r="E73" s="7">
        <f>Données!L12</f>
        <v>43904</v>
      </c>
      <c r="F73" s="6" t="str">
        <f>INDEX(Données!$F$2:$L$54,MATCH('#1'!E73,Données!$G$2:$G$54,1),1)</f>
        <v>11</v>
      </c>
      <c r="G73" s="18" t="str">
        <f t="shared" si="3"/>
        <v>PS-1</v>
      </c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1"/>
      <c r="W73" s="75"/>
      <c r="X73" s="75"/>
      <c r="Y73" s="75"/>
      <c r="Z73" s="96">
        <f>SUM(Tableau13[[#This Row],[A-1]:[G-5]])</f>
        <v>0</v>
      </c>
      <c r="AA73" s="96" t="str">
        <f>IF(AND(Z73&gt;0,Tableau13[[#This Row],[CDS]]=""),"Oui","Non")</f>
        <v>Non</v>
      </c>
      <c r="AB73" s="75"/>
      <c r="AC73" s="75"/>
      <c r="AD73" s="75"/>
      <c r="AE73" s="75"/>
      <c r="AF73" s="75"/>
      <c r="AG73" s="75"/>
      <c r="AH73" s="75"/>
      <c r="AI73" s="75"/>
      <c r="AJ73" s="81"/>
      <c r="AK73" s="75"/>
      <c r="AL73" s="75"/>
    </row>
    <row r="74" spans="1:38" ht="15.75" hidden="1" thickBot="1" x14ac:dyDescent="0.3">
      <c r="A74" s="75"/>
      <c r="B74" s="75"/>
      <c r="C74" s="35">
        <f>INDEX(Données!$F$2:$L$54,MATCH(F74,Données!$F$2:$F$54,0),2)</f>
        <v>43906</v>
      </c>
      <c r="D74" s="29" t="str">
        <f t="shared" si="2"/>
        <v>#1</v>
      </c>
      <c r="E74" s="7">
        <f>Données!G13</f>
        <v>43906</v>
      </c>
      <c r="F74" s="6" t="str">
        <f>INDEX(Données!$F$2:$L$54,MATCH('#1'!E74,Données!$G$2:$G$54,1),1)</f>
        <v>12</v>
      </c>
      <c r="G74" s="18" t="str">
        <f t="shared" si="3"/>
        <v>PS-1</v>
      </c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1"/>
      <c r="W74" s="75"/>
      <c r="X74" s="75"/>
      <c r="Y74" s="75"/>
      <c r="Z74" s="96">
        <f>SUM(Tableau13[[#This Row],[A-1]:[G-5]])</f>
        <v>0</v>
      </c>
      <c r="AA74" s="96" t="str">
        <f>IF(AND(Z74&gt;0,Tableau13[[#This Row],[CDS]]=""),"Oui","Non")</f>
        <v>Non</v>
      </c>
      <c r="AB74" s="75"/>
      <c r="AC74" s="75"/>
      <c r="AD74" s="75"/>
      <c r="AE74" s="75"/>
      <c r="AF74" s="75"/>
      <c r="AG74" s="75"/>
      <c r="AH74" s="75"/>
      <c r="AI74" s="75"/>
      <c r="AJ74" s="81"/>
      <c r="AK74" s="75"/>
      <c r="AL74" s="75"/>
    </row>
    <row r="75" spans="1:38" ht="15.75" hidden="1" thickBot="1" x14ac:dyDescent="0.3">
      <c r="A75" s="75"/>
      <c r="B75" s="75"/>
      <c r="C75" s="35">
        <f>INDEX(Données!$F$2:$L$54,MATCH(F75,Données!$F$2:$F$54,0),2)</f>
        <v>43906</v>
      </c>
      <c r="D75" s="29" t="str">
        <f t="shared" si="2"/>
        <v>#1</v>
      </c>
      <c r="E75" s="7">
        <f>Données!H13</f>
        <v>43907</v>
      </c>
      <c r="F75" s="6" t="str">
        <f>INDEX(Données!$F$2:$L$54,MATCH('#1'!E75,Données!$G$2:$G$54,1),1)</f>
        <v>12</v>
      </c>
      <c r="G75" s="18" t="str">
        <f t="shared" si="3"/>
        <v>PS-1</v>
      </c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1"/>
      <c r="W75" s="75"/>
      <c r="X75" s="75"/>
      <c r="Y75" s="75"/>
      <c r="Z75" s="96">
        <f>SUM(Tableau13[[#This Row],[A-1]:[G-5]])</f>
        <v>0</v>
      </c>
      <c r="AA75" s="96" t="str">
        <f>IF(AND(Z75&gt;0,Tableau13[[#This Row],[CDS]]=""),"Oui","Non")</f>
        <v>Non</v>
      </c>
      <c r="AB75" s="75"/>
      <c r="AC75" s="75"/>
      <c r="AD75" s="75"/>
      <c r="AE75" s="75"/>
      <c r="AF75" s="75"/>
      <c r="AG75" s="75"/>
      <c r="AH75" s="75"/>
      <c r="AI75" s="75"/>
      <c r="AJ75" s="81"/>
      <c r="AK75" s="75"/>
      <c r="AL75" s="75"/>
    </row>
    <row r="76" spans="1:38" ht="15.75" hidden="1" thickBot="1" x14ac:dyDescent="0.3">
      <c r="A76" s="75"/>
      <c r="B76" s="75"/>
      <c r="C76" s="35">
        <f>INDEX(Données!$F$2:$L$54,MATCH(F76,Données!$F$2:$F$54,0),2)</f>
        <v>43906</v>
      </c>
      <c r="D76" s="29" t="str">
        <f t="shared" si="2"/>
        <v>#1</v>
      </c>
      <c r="E76" s="7">
        <f>Données!I13</f>
        <v>43908</v>
      </c>
      <c r="F76" s="6" t="str">
        <f>INDEX(Données!$F$2:$L$54,MATCH('#1'!E76,Données!$G$2:$G$54,1),1)</f>
        <v>12</v>
      </c>
      <c r="G76" s="18" t="str">
        <f t="shared" si="3"/>
        <v>PS-1</v>
      </c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1"/>
      <c r="W76" s="75"/>
      <c r="X76" s="75"/>
      <c r="Y76" s="75"/>
      <c r="Z76" s="96">
        <f>SUM(Tableau13[[#This Row],[A-1]:[G-5]])</f>
        <v>0</v>
      </c>
      <c r="AA76" s="96" t="str">
        <f>IF(AND(Z76&gt;0,Tableau13[[#This Row],[CDS]]=""),"Oui","Non")</f>
        <v>Non</v>
      </c>
      <c r="AB76" s="75"/>
      <c r="AC76" s="75"/>
      <c r="AD76" s="75"/>
      <c r="AE76" s="75"/>
      <c r="AF76" s="75"/>
      <c r="AG76" s="75"/>
      <c r="AH76" s="75"/>
      <c r="AI76" s="75"/>
      <c r="AJ76" s="81"/>
      <c r="AK76" s="75"/>
      <c r="AL76" s="75"/>
    </row>
    <row r="77" spans="1:38" ht="15.75" hidden="1" thickBot="1" x14ac:dyDescent="0.3">
      <c r="A77" s="75"/>
      <c r="B77" s="75"/>
      <c r="C77" s="35">
        <f>INDEX(Données!$F$2:$L$54,MATCH(F77,Données!$F$2:$F$54,0),2)</f>
        <v>43906</v>
      </c>
      <c r="D77" s="29" t="str">
        <f t="shared" si="2"/>
        <v>#1</v>
      </c>
      <c r="E77" s="7">
        <f>Données!J13</f>
        <v>43909</v>
      </c>
      <c r="F77" s="6" t="str">
        <f>INDEX(Données!$F$2:$L$54,MATCH('#1'!E77,Données!$G$2:$G$54,1),1)</f>
        <v>12</v>
      </c>
      <c r="G77" s="18" t="str">
        <f t="shared" si="3"/>
        <v>PS-1</v>
      </c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1"/>
      <c r="W77" s="75"/>
      <c r="X77" s="75"/>
      <c r="Y77" s="75"/>
      <c r="Z77" s="96">
        <f>SUM(Tableau13[[#This Row],[A-1]:[G-5]])</f>
        <v>0</v>
      </c>
      <c r="AA77" s="96" t="str">
        <f>IF(AND(Z77&gt;0,Tableau13[[#This Row],[CDS]]=""),"Oui","Non")</f>
        <v>Non</v>
      </c>
      <c r="AB77" s="75"/>
      <c r="AC77" s="75"/>
      <c r="AD77" s="75"/>
      <c r="AE77" s="75"/>
      <c r="AF77" s="75"/>
      <c r="AG77" s="75"/>
      <c r="AH77" s="75"/>
      <c r="AI77" s="75"/>
      <c r="AJ77" s="81"/>
      <c r="AK77" s="75"/>
      <c r="AL77" s="75"/>
    </row>
    <row r="78" spans="1:38" ht="15.75" hidden="1" thickBot="1" x14ac:dyDescent="0.3">
      <c r="A78" s="75"/>
      <c r="B78" s="75"/>
      <c r="C78" s="35">
        <f>INDEX(Données!$F$2:$L$54,MATCH(F78,Données!$F$2:$F$54,0),2)</f>
        <v>43906</v>
      </c>
      <c r="D78" s="29" t="str">
        <f t="shared" si="2"/>
        <v>#1</v>
      </c>
      <c r="E78" s="7">
        <f>Données!K13</f>
        <v>43910</v>
      </c>
      <c r="F78" s="6" t="str">
        <f>INDEX(Données!$F$2:$L$54,MATCH('#1'!E78,Données!$G$2:$G$54,1),1)</f>
        <v>12</v>
      </c>
      <c r="G78" s="18" t="str">
        <f t="shared" si="3"/>
        <v>PS-1</v>
      </c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1"/>
      <c r="W78" s="75"/>
      <c r="X78" s="75"/>
      <c r="Y78" s="75"/>
      <c r="Z78" s="96">
        <f>SUM(Tableau13[[#This Row],[A-1]:[G-5]])</f>
        <v>0</v>
      </c>
      <c r="AA78" s="96" t="str">
        <f>IF(AND(Z78&gt;0,Tableau13[[#This Row],[CDS]]=""),"Oui","Non")</f>
        <v>Non</v>
      </c>
      <c r="AB78" s="75"/>
      <c r="AC78" s="75"/>
      <c r="AD78" s="75"/>
      <c r="AE78" s="75"/>
      <c r="AF78" s="75"/>
      <c r="AG78" s="75"/>
      <c r="AH78" s="75"/>
      <c r="AI78" s="75"/>
      <c r="AJ78" s="81"/>
      <c r="AK78" s="75"/>
      <c r="AL78" s="75"/>
    </row>
    <row r="79" spans="1:38" ht="15.75" hidden="1" thickBot="1" x14ac:dyDescent="0.3">
      <c r="A79" s="75"/>
      <c r="B79" s="75"/>
      <c r="C79" s="35">
        <f>INDEX(Données!$F$2:$L$54,MATCH(F79,Données!$F$2:$F$54,0),2)</f>
        <v>43906</v>
      </c>
      <c r="D79" s="29" t="str">
        <f t="shared" si="2"/>
        <v>#1</v>
      </c>
      <c r="E79" s="7">
        <f>Données!L13</f>
        <v>43911</v>
      </c>
      <c r="F79" s="6" t="str">
        <f>INDEX(Données!$F$2:$L$54,MATCH('#1'!E79,Données!$G$2:$G$54,1),1)</f>
        <v>12</v>
      </c>
      <c r="G79" s="18" t="str">
        <f t="shared" si="3"/>
        <v>PS-1</v>
      </c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1"/>
      <c r="W79" s="75"/>
      <c r="X79" s="75"/>
      <c r="Y79" s="75"/>
      <c r="Z79" s="96">
        <f>SUM(Tableau13[[#This Row],[A-1]:[G-5]])</f>
        <v>0</v>
      </c>
      <c r="AA79" s="96" t="str">
        <f>IF(AND(Z79&gt;0,Tableau13[[#This Row],[CDS]]=""),"Oui","Non")</f>
        <v>Non</v>
      </c>
      <c r="AB79" s="75"/>
      <c r="AC79" s="75"/>
      <c r="AD79" s="75"/>
      <c r="AE79" s="75"/>
      <c r="AF79" s="75"/>
      <c r="AG79" s="75"/>
      <c r="AH79" s="75"/>
      <c r="AI79" s="75"/>
      <c r="AJ79" s="81"/>
      <c r="AK79" s="75"/>
      <c r="AL79" s="75"/>
    </row>
    <row r="80" spans="1:38" ht="15.75" hidden="1" thickBot="1" x14ac:dyDescent="0.3">
      <c r="A80" s="75"/>
      <c r="B80" s="75"/>
      <c r="C80" s="35">
        <f>INDEX(Données!$F$2:$L$54,MATCH(F80,Données!$F$2:$F$54,0),2)</f>
        <v>43913</v>
      </c>
      <c r="D80" s="29" t="str">
        <f t="shared" si="2"/>
        <v>#1</v>
      </c>
      <c r="E80" s="7">
        <f>Données!G14</f>
        <v>43913</v>
      </c>
      <c r="F80" s="6" t="str">
        <f>INDEX(Données!$F$2:$L$54,MATCH('#1'!E80,Données!$G$2:$G$54,1),1)</f>
        <v>13</v>
      </c>
      <c r="G80" s="18" t="str">
        <f t="shared" si="3"/>
        <v>PS-1</v>
      </c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1"/>
      <c r="W80" s="75"/>
      <c r="X80" s="75"/>
      <c r="Y80" s="75"/>
      <c r="Z80" s="96">
        <f>SUM(Tableau13[[#This Row],[A-1]:[G-5]])</f>
        <v>0</v>
      </c>
      <c r="AA80" s="96" t="str">
        <f>IF(AND(Z80&gt;0,Tableau13[[#This Row],[CDS]]=""),"Oui","Non")</f>
        <v>Non</v>
      </c>
      <c r="AB80" s="75"/>
      <c r="AC80" s="75"/>
      <c r="AD80" s="75"/>
      <c r="AE80" s="75"/>
      <c r="AF80" s="75"/>
      <c r="AG80" s="75"/>
      <c r="AH80" s="75"/>
      <c r="AI80" s="75"/>
      <c r="AJ80" s="81"/>
      <c r="AK80" s="75"/>
      <c r="AL80" s="75"/>
    </row>
    <row r="81" spans="1:38" ht="15.75" hidden="1" thickBot="1" x14ac:dyDescent="0.3">
      <c r="A81" s="75"/>
      <c r="B81" s="75"/>
      <c r="C81" s="35">
        <f>INDEX(Données!$F$2:$L$54,MATCH(F81,Données!$F$2:$F$54,0),2)</f>
        <v>43913</v>
      </c>
      <c r="D81" s="29" t="str">
        <f t="shared" si="2"/>
        <v>#1</v>
      </c>
      <c r="E81" s="7">
        <f>Données!H14</f>
        <v>43914</v>
      </c>
      <c r="F81" s="6" t="str">
        <f>INDEX(Données!$F$2:$L$54,MATCH('#1'!E81,Données!$G$2:$G$54,1),1)</f>
        <v>13</v>
      </c>
      <c r="G81" s="18" t="str">
        <f t="shared" si="3"/>
        <v>PS-1</v>
      </c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1"/>
      <c r="W81" s="75"/>
      <c r="X81" s="75"/>
      <c r="Y81" s="75"/>
      <c r="Z81" s="96">
        <f>SUM(Tableau13[[#This Row],[A-1]:[G-5]])</f>
        <v>0</v>
      </c>
      <c r="AA81" s="96" t="str">
        <f>IF(AND(Z81&gt;0,Tableau13[[#This Row],[CDS]]=""),"Oui","Non")</f>
        <v>Non</v>
      </c>
      <c r="AB81" s="75"/>
      <c r="AC81" s="75"/>
      <c r="AD81" s="75"/>
      <c r="AE81" s="75"/>
      <c r="AF81" s="75"/>
      <c r="AG81" s="75"/>
      <c r="AH81" s="75"/>
      <c r="AI81" s="75"/>
      <c r="AJ81" s="81"/>
      <c r="AK81" s="75"/>
      <c r="AL81" s="75"/>
    </row>
    <row r="82" spans="1:38" ht="15.75" hidden="1" thickBot="1" x14ac:dyDescent="0.3">
      <c r="A82" s="75"/>
      <c r="B82" s="75"/>
      <c r="C82" s="35">
        <f>INDEX(Données!$F$2:$L$54,MATCH(F82,Données!$F$2:$F$54,0),2)</f>
        <v>43913</v>
      </c>
      <c r="D82" s="29" t="str">
        <f t="shared" si="2"/>
        <v>#1</v>
      </c>
      <c r="E82" s="7">
        <f>Données!I14</f>
        <v>43915</v>
      </c>
      <c r="F82" s="6" t="str">
        <f>INDEX(Données!$F$2:$L$54,MATCH('#1'!E82,Données!$G$2:$G$54,1),1)</f>
        <v>13</v>
      </c>
      <c r="G82" s="18" t="str">
        <f t="shared" si="3"/>
        <v>PS-1</v>
      </c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1"/>
      <c r="W82" s="75"/>
      <c r="X82" s="75"/>
      <c r="Y82" s="75"/>
      <c r="Z82" s="96">
        <f>SUM(Tableau13[[#This Row],[A-1]:[G-5]])</f>
        <v>0</v>
      </c>
      <c r="AA82" s="96" t="str">
        <f>IF(AND(Z82&gt;0,Tableau13[[#This Row],[CDS]]=""),"Oui","Non")</f>
        <v>Non</v>
      </c>
      <c r="AB82" s="75"/>
      <c r="AC82" s="75"/>
      <c r="AD82" s="75"/>
      <c r="AE82" s="75"/>
      <c r="AF82" s="75"/>
      <c r="AG82" s="75"/>
      <c r="AH82" s="75"/>
      <c r="AI82" s="75"/>
      <c r="AJ82" s="81"/>
      <c r="AK82" s="75"/>
      <c r="AL82" s="75"/>
    </row>
    <row r="83" spans="1:38" ht="15.75" hidden="1" thickBot="1" x14ac:dyDescent="0.3">
      <c r="A83" s="75"/>
      <c r="B83" s="75"/>
      <c r="C83" s="35">
        <f>INDEX(Données!$F$2:$L$54,MATCH(F83,Données!$F$2:$F$54,0),2)</f>
        <v>43913</v>
      </c>
      <c r="D83" s="29" t="str">
        <f t="shared" si="2"/>
        <v>#1</v>
      </c>
      <c r="E83" s="7">
        <f>Données!J14</f>
        <v>43916</v>
      </c>
      <c r="F83" s="6" t="str">
        <f>INDEX(Données!$F$2:$L$54,MATCH('#1'!E83,Données!$G$2:$G$54,1),1)</f>
        <v>13</v>
      </c>
      <c r="G83" s="18" t="str">
        <f t="shared" si="3"/>
        <v>PS-1</v>
      </c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1"/>
      <c r="W83" s="75"/>
      <c r="X83" s="75"/>
      <c r="Y83" s="75"/>
      <c r="Z83" s="96">
        <f>SUM(Tableau13[[#This Row],[A-1]:[G-5]])</f>
        <v>0</v>
      </c>
      <c r="AA83" s="96" t="str">
        <f>IF(AND(Z83&gt;0,Tableau13[[#This Row],[CDS]]=""),"Oui","Non")</f>
        <v>Non</v>
      </c>
      <c r="AB83" s="75"/>
      <c r="AC83" s="75"/>
      <c r="AD83" s="75"/>
      <c r="AE83" s="75"/>
      <c r="AF83" s="75"/>
      <c r="AG83" s="75"/>
      <c r="AH83" s="75"/>
      <c r="AI83" s="75"/>
      <c r="AJ83" s="81"/>
      <c r="AK83" s="75"/>
      <c r="AL83" s="75"/>
    </row>
    <row r="84" spans="1:38" ht="15.75" hidden="1" thickBot="1" x14ac:dyDescent="0.3">
      <c r="A84" s="75"/>
      <c r="B84" s="75"/>
      <c r="C84" s="35">
        <f>INDEX(Données!$F$2:$L$54,MATCH(F84,Données!$F$2:$F$54,0),2)</f>
        <v>43913</v>
      </c>
      <c r="D84" s="29" t="str">
        <f t="shared" si="2"/>
        <v>#1</v>
      </c>
      <c r="E84" s="7">
        <f>Données!K14</f>
        <v>43917</v>
      </c>
      <c r="F84" s="6" t="str">
        <f>INDEX(Données!$F$2:$L$54,MATCH('#1'!E84,Données!$G$2:$G$54,1),1)</f>
        <v>13</v>
      </c>
      <c r="G84" s="18" t="str">
        <f t="shared" si="3"/>
        <v>PS-1</v>
      </c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1"/>
      <c r="W84" s="75"/>
      <c r="X84" s="75"/>
      <c r="Y84" s="75"/>
      <c r="Z84" s="96">
        <f>SUM(Tableau13[[#This Row],[A-1]:[G-5]])</f>
        <v>0</v>
      </c>
      <c r="AA84" s="96" t="str">
        <f>IF(AND(Z84&gt;0,Tableau13[[#This Row],[CDS]]=""),"Oui","Non")</f>
        <v>Non</v>
      </c>
      <c r="AB84" s="75"/>
      <c r="AC84" s="75"/>
      <c r="AD84" s="75"/>
      <c r="AE84" s="75"/>
      <c r="AF84" s="75"/>
      <c r="AG84" s="75"/>
      <c r="AH84" s="75"/>
      <c r="AI84" s="75"/>
      <c r="AJ84" s="81"/>
      <c r="AK84" s="75"/>
      <c r="AL84" s="75"/>
    </row>
    <row r="85" spans="1:38" ht="15.75" hidden="1" thickBot="1" x14ac:dyDescent="0.3">
      <c r="A85" s="75"/>
      <c r="B85" s="75"/>
      <c r="C85" s="35">
        <f>INDEX(Données!$F$2:$L$54,MATCH(F85,Données!$F$2:$F$54,0),2)</f>
        <v>43913</v>
      </c>
      <c r="D85" s="29" t="str">
        <f t="shared" si="2"/>
        <v>#1</v>
      </c>
      <c r="E85" s="7">
        <f>Données!L14</f>
        <v>43918</v>
      </c>
      <c r="F85" s="6" t="str">
        <f>INDEX(Données!$F$2:$L$54,MATCH('#1'!E85,Données!$G$2:$G$54,1),1)</f>
        <v>13</v>
      </c>
      <c r="G85" s="18" t="str">
        <f t="shared" si="3"/>
        <v>PS-1</v>
      </c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1"/>
      <c r="W85" s="75"/>
      <c r="X85" s="75"/>
      <c r="Y85" s="75"/>
      <c r="Z85" s="96">
        <f>SUM(Tableau13[[#This Row],[A-1]:[G-5]])</f>
        <v>0</v>
      </c>
      <c r="AA85" s="96" t="str">
        <f>IF(AND(Z85&gt;0,Tableau13[[#This Row],[CDS]]=""),"Oui","Non")</f>
        <v>Non</v>
      </c>
      <c r="AB85" s="75"/>
      <c r="AC85" s="75"/>
      <c r="AD85" s="75"/>
      <c r="AE85" s="75"/>
      <c r="AF85" s="75"/>
      <c r="AG85" s="75"/>
      <c r="AH85" s="75"/>
      <c r="AI85" s="75"/>
      <c r="AJ85" s="81"/>
      <c r="AK85" s="75"/>
      <c r="AL85" s="75"/>
    </row>
    <row r="86" spans="1:38" ht="15.75" hidden="1" thickBot="1" x14ac:dyDescent="0.3">
      <c r="A86" s="75"/>
      <c r="B86" s="75"/>
      <c r="C86" s="35">
        <f>INDEX(Données!$F$2:$L$54,MATCH(F86,Données!$F$2:$F$54,0),2)</f>
        <v>43920</v>
      </c>
      <c r="D86" s="29" t="str">
        <f t="shared" si="2"/>
        <v>#1</v>
      </c>
      <c r="E86" s="7">
        <f>Données!G15</f>
        <v>43920</v>
      </c>
      <c r="F86" s="6" t="str">
        <f>INDEX(Données!$F$2:$L$54,MATCH('#1'!E86,Données!$G$2:$G$54,1),1)</f>
        <v>14</v>
      </c>
      <c r="G86" s="18" t="str">
        <f t="shared" si="3"/>
        <v>PS-1</v>
      </c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1"/>
      <c r="W86" s="75"/>
      <c r="X86" s="75"/>
      <c r="Y86" s="75"/>
      <c r="Z86" s="96">
        <f>SUM(Tableau13[[#This Row],[A-1]:[G-5]])</f>
        <v>0</v>
      </c>
      <c r="AA86" s="96" t="str">
        <f>IF(AND(Z86&gt;0,Tableau13[[#This Row],[CDS]]=""),"Oui","Non")</f>
        <v>Non</v>
      </c>
      <c r="AB86" s="75"/>
      <c r="AC86" s="75"/>
      <c r="AD86" s="75"/>
      <c r="AE86" s="75"/>
      <c r="AF86" s="75"/>
      <c r="AG86" s="75"/>
      <c r="AH86" s="75"/>
      <c r="AI86" s="75"/>
      <c r="AJ86" s="81"/>
      <c r="AK86" s="75"/>
      <c r="AL86" s="75"/>
    </row>
    <row r="87" spans="1:38" ht="15.75" hidden="1" thickBot="1" x14ac:dyDescent="0.3">
      <c r="A87" s="75"/>
      <c r="B87" s="75"/>
      <c r="C87" s="35">
        <f>INDEX(Données!$F$2:$L$54,MATCH(F87,Données!$F$2:$F$54,0),2)</f>
        <v>43920</v>
      </c>
      <c r="D87" s="29" t="str">
        <f t="shared" si="2"/>
        <v>#1</v>
      </c>
      <c r="E87" s="7">
        <f>Données!H15</f>
        <v>43921</v>
      </c>
      <c r="F87" s="6" t="str">
        <f>INDEX(Données!$F$2:$L$54,MATCH('#1'!E87,Données!$G$2:$G$54,1),1)</f>
        <v>14</v>
      </c>
      <c r="G87" s="18" t="str">
        <f t="shared" si="3"/>
        <v>PS-1</v>
      </c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1"/>
      <c r="W87" s="75"/>
      <c r="X87" s="75"/>
      <c r="Y87" s="75"/>
      <c r="Z87" s="96">
        <f>SUM(Tableau13[[#This Row],[A-1]:[G-5]])</f>
        <v>0</v>
      </c>
      <c r="AA87" s="96" t="str">
        <f>IF(AND(Z87&gt;0,Tableau13[[#This Row],[CDS]]=""),"Oui","Non")</f>
        <v>Non</v>
      </c>
      <c r="AB87" s="75"/>
      <c r="AC87" s="75"/>
      <c r="AD87" s="75"/>
      <c r="AE87" s="75"/>
      <c r="AF87" s="75"/>
      <c r="AG87" s="75"/>
      <c r="AH87" s="75"/>
      <c r="AI87" s="75"/>
      <c r="AJ87" s="81"/>
      <c r="AK87" s="75"/>
      <c r="AL87" s="75"/>
    </row>
    <row r="88" spans="1:38" ht="15.75" hidden="1" thickBot="1" x14ac:dyDescent="0.3">
      <c r="A88" s="75"/>
      <c r="B88" s="75"/>
      <c r="C88" s="35">
        <f>INDEX(Données!$F$2:$L$54,MATCH(F88,Données!$F$2:$F$54,0),2)</f>
        <v>43920</v>
      </c>
      <c r="D88" s="29" t="str">
        <f t="shared" si="2"/>
        <v>#1</v>
      </c>
      <c r="E88" s="7">
        <f>Données!I15</f>
        <v>43922</v>
      </c>
      <c r="F88" s="6" t="str">
        <f>INDEX(Données!$F$2:$L$54,MATCH('#1'!E88,Données!$G$2:$G$54,1),1)</f>
        <v>14</v>
      </c>
      <c r="G88" s="18" t="str">
        <f t="shared" si="3"/>
        <v>PS-1</v>
      </c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1"/>
      <c r="W88" s="75"/>
      <c r="X88" s="75"/>
      <c r="Y88" s="75"/>
      <c r="Z88" s="96">
        <f>SUM(Tableau13[[#This Row],[A-1]:[G-5]])</f>
        <v>0</v>
      </c>
      <c r="AA88" s="96" t="str">
        <f>IF(AND(Z88&gt;0,Tableau13[[#This Row],[CDS]]=""),"Oui","Non")</f>
        <v>Non</v>
      </c>
      <c r="AB88" s="75"/>
      <c r="AC88" s="75"/>
      <c r="AD88" s="75"/>
      <c r="AE88" s="75"/>
      <c r="AF88" s="75"/>
      <c r="AG88" s="75"/>
      <c r="AH88" s="75"/>
      <c r="AI88" s="75"/>
      <c r="AJ88" s="81"/>
      <c r="AK88" s="75"/>
      <c r="AL88" s="75"/>
    </row>
    <row r="89" spans="1:38" ht="15.75" hidden="1" thickBot="1" x14ac:dyDescent="0.3">
      <c r="A89" s="75"/>
      <c r="B89" s="75"/>
      <c r="C89" s="35">
        <f>INDEX(Données!$F$2:$L$54,MATCH(F89,Données!$F$2:$F$54,0),2)</f>
        <v>43920</v>
      </c>
      <c r="D89" s="29" t="str">
        <f t="shared" si="2"/>
        <v>#1</v>
      </c>
      <c r="E89" s="7">
        <f>Données!J15</f>
        <v>43923</v>
      </c>
      <c r="F89" s="6" t="str">
        <f>INDEX(Données!$F$2:$L$54,MATCH('#1'!E89,Données!$G$2:$G$54,1),1)</f>
        <v>14</v>
      </c>
      <c r="G89" s="18" t="str">
        <f t="shared" si="3"/>
        <v>PS-1</v>
      </c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1"/>
      <c r="W89" s="75"/>
      <c r="X89" s="75"/>
      <c r="Y89" s="75"/>
      <c r="Z89" s="96">
        <f>SUM(Tableau13[[#This Row],[A-1]:[G-5]])</f>
        <v>0</v>
      </c>
      <c r="AA89" s="96" t="str">
        <f>IF(AND(Z89&gt;0,Tableau13[[#This Row],[CDS]]=""),"Oui","Non")</f>
        <v>Non</v>
      </c>
      <c r="AB89" s="75"/>
      <c r="AC89" s="75"/>
      <c r="AD89" s="75"/>
      <c r="AE89" s="75"/>
      <c r="AF89" s="75"/>
      <c r="AG89" s="75"/>
      <c r="AH89" s="75"/>
      <c r="AI89" s="75"/>
      <c r="AJ89" s="81"/>
      <c r="AK89" s="75"/>
      <c r="AL89" s="75"/>
    </row>
    <row r="90" spans="1:38" ht="15.75" hidden="1" thickBot="1" x14ac:dyDescent="0.3">
      <c r="A90" s="75"/>
      <c r="B90" s="75"/>
      <c r="C90" s="35">
        <f>INDEX(Données!$F$2:$L$54,MATCH(F90,Données!$F$2:$F$54,0),2)</f>
        <v>43920</v>
      </c>
      <c r="D90" s="29" t="str">
        <f t="shared" si="2"/>
        <v>#1</v>
      </c>
      <c r="E90" s="7">
        <f>Données!K15</f>
        <v>43924</v>
      </c>
      <c r="F90" s="6" t="str">
        <f>INDEX(Données!$F$2:$L$54,MATCH('#1'!E90,Données!$G$2:$G$54,1),1)</f>
        <v>14</v>
      </c>
      <c r="G90" s="18" t="str">
        <f t="shared" si="3"/>
        <v>PS-1</v>
      </c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1"/>
      <c r="W90" s="75"/>
      <c r="X90" s="75"/>
      <c r="Y90" s="75"/>
      <c r="Z90" s="96">
        <f>SUM(Tableau13[[#This Row],[A-1]:[G-5]])</f>
        <v>0</v>
      </c>
      <c r="AA90" s="96" t="str">
        <f>IF(AND(Z90&gt;0,Tableau13[[#This Row],[CDS]]=""),"Oui","Non")</f>
        <v>Non</v>
      </c>
      <c r="AB90" s="75"/>
      <c r="AC90" s="75"/>
      <c r="AD90" s="75"/>
      <c r="AE90" s="75"/>
      <c r="AF90" s="75"/>
      <c r="AG90" s="75"/>
      <c r="AH90" s="75"/>
      <c r="AI90" s="75"/>
      <c r="AJ90" s="81"/>
      <c r="AK90" s="75"/>
      <c r="AL90" s="75"/>
    </row>
    <row r="91" spans="1:38" ht="15.75" hidden="1" thickBot="1" x14ac:dyDescent="0.3">
      <c r="A91" s="75"/>
      <c r="B91" s="75"/>
      <c r="C91" s="35">
        <f>INDEX(Données!$F$2:$L$54,MATCH(F91,Données!$F$2:$F$54,0),2)</f>
        <v>43920</v>
      </c>
      <c r="D91" s="29" t="str">
        <f t="shared" si="2"/>
        <v>#1</v>
      </c>
      <c r="E91" s="7">
        <f>Données!L15</f>
        <v>43925</v>
      </c>
      <c r="F91" s="6" t="str">
        <f>INDEX(Données!$F$2:$L$54,MATCH('#1'!E91,Données!$G$2:$G$54,1),1)</f>
        <v>14</v>
      </c>
      <c r="G91" s="18" t="str">
        <f t="shared" si="3"/>
        <v>PS-1</v>
      </c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1"/>
      <c r="W91" s="75"/>
      <c r="X91" s="75"/>
      <c r="Y91" s="75"/>
      <c r="Z91" s="96">
        <f>SUM(Tableau13[[#This Row],[A-1]:[G-5]])</f>
        <v>0</v>
      </c>
      <c r="AA91" s="96" t="str">
        <f>IF(AND(Z91&gt;0,Tableau13[[#This Row],[CDS]]=""),"Oui","Non")</f>
        <v>Non</v>
      </c>
      <c r="AB91" s="75"/>
      <c r="AC91" s="75"/>
      <c r="AD91" s="75"/>
      <c r="AE91" s="75"/>
      <c r="AF91" s="75"/>
      <c r="AG91" s="75"/>
      <c r="AH91" s="75"/>
      <c r="AI91" s="75"/>
      <c r="AJ91" s="81"/>
      <c r="AK91" s="75"/>
      <c r="AL91" s="75"/>
    </row>
    <row r="92" spans="1:38" ht="15.75" hidden="1" thickBot="1" x14ac:dyDescent="0.3">
      <c r="A92" s="75"/>
      <c r="B92" s="75"/>
      <c r="C92" s="35">
        <f>INDEX(Données!$F$2:$L$54,MATCH(F92,Données!$F$2:$F$54,0),2)</f>
        <v>43927</v>
      </c>
      <c r="D92" s="29" t="str">
        <f t="shared" si="2"/>
        <v>#1</v>
      </c>
      <c r="E92" s="7">
        <f>Données!G16</f>
        <v>43927</v>
      </c>
      <c r="F92" s="6" t="str">
        <f>INDEX(Données!$F$2:$L$54,MATCH('#1'!E92,Données!$G$2:$G$54,1),1)</f>
        <v>15</v>
      </c>
      <c r="G92" s="18" t="str">
        <f t="shared" si="3"/>
        <v>PS-1</v>
      </c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1"/>
      <c r="W92" s="75"/>
      <c r="X92" s="75"/>
      <c r="Y92" s="75"/>
      <c r="Z92" s="96">
        <f>SUM(Tableau13[[#This Row],[A-1]:[G-5]])</f>
        <v>0</v>
      </c>
      <c r="AA92" s="96" t="str">
        <f>IF(AND(Z92&gt;0,Tableau13[[#This Row],[CDS]]=""),"Oui","Non")</f>
        <v>Non</v>
      </c>
      <c r="AB92" s="75"/>
      <c r="AC92" s="75"/>
      <c r="AD92" s="75"/>
      <c r="AE92" s="75"/>
      <c r="AF92" s="75"/>
      <c r="AG92" s="75"/>
      <c r="AH92" s="75"/>
      <c r="AI92" s="75"/>
      <c r="AJ92" s="81"/>
      <c r="AK92" s="75"/>
      <c r="AL92" s="75"/>
    </row>
    <row r="93" spans="1:38" ht="15.75" hidden="1" thickBot="1" x14ac:dyDescent="0.3">
      <c r="A93" s="75"/>
      <c r="B93" s="75"/>
      <c r="C93" s="35">
        <f>INDEX(Données!$F$2:$L$54,MATCH(F93,Données!$F$2:$F$54,0),2)</f>
        <v>43927</v>
      </c>
      <c r="D93" s="29" t="str">
        <f t="shared" si="2"/>
        <v>#1</v>
      </c>
      <c r="E93" s="7">
        <f>Données!H16</f>
        <v>43928</v>
      </c>
      <c r="F93" s="6" t="str">
        <f>INDEX(Données!$F$2:$L$54,MATCH('#1'!E93,Données!$G$2:$G$54,1),1)</f>
        <v>15</v>
      </c>
      <c r="G93" s="18" t="str">
        <f t="shared" si="3"/>
        <v>PS-1</v>
      </c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1"/>
      <c r="W93" s="75"/>
      <c r="X93" s="75"/>
      <c r="Y93" s="75"/>
      <c r="Z93" s="96">
        <f>SUM(Tableau13[[#This Row],[A-1]:[G-5]])</f>
        <v>0</v>
      </c>
      <c r="AA93" s="96" t="str">
        <f>IF(AND(Z93&gt;0,Tableau13[[#This Row],[CDS]]=""),"Oui","Non")</f>
        <v>Non</v>
      </c>
      <c r="AB93" s="75"/>
      <c r="AC93" s="75"/>
      <c r="AD93" s="75"/>
      <c r="AE93" s="75"/>
      <c r="AF93" s="75"/>
      <c r="AG93" s="75"/>
      <c r="AH93" s="75"/>
      <c r="AI93" s="75"/>
      <c r="AJ93" s="81"/>
      <c r="AK93" s="75"/>
      <c r="AL93" s="75"/>
    </row>
    <row r="94" spans="1:38" ht="15.75" hidden="1" thickBot="1" x14ac:dyDescent="0.3">
      <c r="A94" s="75"/>
      <c r="B94" s="75"/>
      <c r="C94" s="35">
        <f>INDEX(Données!$F$2:$L$54,MATCH(F94,Données!$F$2:$F$54,0),2)</f>
        <v>43927</v>
      </c>
      <c r="D94" s="29" t="str">
        <f t="shared" si="2"/>
        <v>#1</v>
      </c>
      <c r="E94" s="7">
        <f>Données!I16</f>
        <v>43929</v>
      </c>
      <c r="F94" s="6" t="str">
        <f>INDEX(Données!$F$2:$L$54,MATCH('#1'!E94,Données!$G$2:$G$54,1),1)</f>
        <v>15</v>
      </c>
      <c r="G94" s="18" t="str">
        <f t="shared" si="3"/>
        <v>PS-1</v>
      </c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1"/>
      <c r="W94" s="75"/>
      <c r="X94" s="75"/>
      <c r="Y94" s="75"/>
      <c r="Z94" s="96">
        <f>SUM(Tableau13[[#This Row],[A-1]:[G-5]])</f>
        <v>0</v>
      </c>
      <c r="AA94" s="96" t="str">
        <f>IF(AND(Z94&gt;0,Tableau13[[#This Row],[CDS]]=""),"Oui","Non")</f>
        <v>Non</v>
      </c>
      <c r="AB94" s="75"/>
      <c r="AC94" s="75"/>
      <c r="AD94" s="75"/>
      <c r="AE94" s="75"/>
      <c r="AF94" s="75"/>
      <c r="AG94" s="75"/>
      <c r="AH94" s="75"/>
      <c r="AI94" s="75"/>
      <c r="AJ94" s="81"/>
      <c r="AK94" s="75"/>
      <c r="AL94" s="75"/>
    </row>
    <row r="95" spans="1:38" ht="15.75" hidden="1" thickBot="1" x14ac:dyDescent="0.3">
      <c r="A95" s="75"/>
      <c r="B95" s="75"/>
      <c r="C95" s="35">
        <f>INDEX(Données!$F$2:$L$54,MATCH(F95,Données!$F$2:$F$54,0),2)</f>
        <v>43927</v>
      </c>
      <c r="D95" s="29" t="str">
        <f t="shared" si="2"/>
        <v>#1</v>
      </c>
      <c r="E95" s="7">
        <f>Données!J16</f>
        <v>43930</v>
      </c>
      <c r="F95" s="6" t="str">
        <f>INDEX(Données!$F$2:$L$54,MATCH('#1'!E95,Données!$G$2:$G$54,1),1)</f>
        <v>15</v>
      </c>
      <c r="G95" s="18" t="str">
        <f t="shared" si="3"/>
        <v>PS-1</v>
      </c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1"/>
      <c r="W95" s="75"/>
      <c r="X95" s="75"/>
      <c r="Y95" s="75"/>
      <c r="Z95" s="96">
        <f>SUM(Tableau13[[#This Row],[A-1]:[G-5]])</f>
        <v>0</v>
      </c>
      <c r="AA95" s="96" t="str">
        <f>IF(AND(Z95&gt;0,Tableau13[[#This Row],[CDS]]=""),"Oui","Non")</f>
        <v>Non</v>
      </c>
      <c r="AB95" s="75"/>
      <c r="AC95" s="75"/>
      <c r="AD95" s="75"/>
      <c r="AE95" s="75"/>
      <c r="AF95" s="75"/>
      <c r="AG95" s="75"/>
      <c r="AH95" s="75"/>
      <c r="AI95" s="75"/>
      <c r="AJ95" s="81"/>
      <c r="AK95" s="75"/>
      <c r="AL95" s="75"/>
    </row>
    <row r="96" spans="1:38" ht="15.75" hidden="1" thickBot="1" x14ac:dyDescent="0.3">
      <c r="A96" s="75"/>
      <c r="B96" s="75"/>
      <c r="C96" s="35">
        <f>INDEX(Données!$F$2:$L$54,MATCH(F96,Données!$F$2:$F$54,0),2)</f>
        <v>43927</v>
      </c>
      <c r="D96" s="29" t="str">
        <f t="shared" si="2"/>
        <v>#1</v>
      </c>
      <c r="E96" s="7">
        <f>Données!K16</f>
        <v>43931</v>
      </c>
      <c r="F96" s="6" t="str">
        <f>INDEX(Données!$F$2:$L$54,MATCH('#1'!E96,Données!$G$2:$G$54,1),1)</f>
        <v>15</v>
      </c>
      <c r="G96" s="18" t="str">
        <f t="shared" si="3"/>
        <v>PS-1</v>
      </c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1"/>
      <c r="W96" s="75"/>
      <c r="X96" s="75"/>
      <c r="Y96" s="75"/>
      <c r="Z96" s="96">
        <f>SUM(Tableau13[[#This Row],[A-1]:[G-5]])</f>
        <v>0</v>
      </c>
      <c r="AA96" s="96" t="str">
        <f>IF(AND(Z96&gt;0,Tableau13[[#This Row],[CDS]]=""),"Oui","Non")</f>
        <v>Non</v>
      </c>
      <c r="AB96" s="75"/>
      <c r="AC96" s="75"/>
      <c r="AD96" s="75"/>
      <c r="AE96" s="75"/>
      <c r="AF96" s="75"/>
      <c r="AG96" s="75"/>
      <c r="AH96" s="75"/>
      <c r="AI96" s="75"/>
      <c r="AJ96" s="81"/>
      <c r="AK96" s="75"/>
      <c r="AL96" s="75"/>
    </row>
    <row r="97" spans="1:38" ht="15.75" hidden="1" thickBot="1" x14ac:dyDescent="0.3">
      <c r="A97" s="75"/>
      <c r="B97" s="75"/>
      <c r="C97" s="35">
        <f>INDEX(Données!$F$2:$L$54,MATCH(F97,Données!$F$2:$F$54,0),2)</f>
        <v>43927</v>
      </c>
      <c r="D97" s="29" t="str">
        <f t="shared" si="2"/>
        <v>#1</v>
      </c>
      <c r="E97" s="7">
        <f>Données!L16</f>
        <v>43932</v>
      </c>
      <c r="F97" s="6" t="str">
        <f>INDEX(Données!$F$2:$L$54,MATCH('#1'!E97,Données!$G$2:$G$54,1),1)</f>
        <v>15</v>
      </c>
      <c r="G97" s="18" t="str">
        <f t="shared" si="3"/>
        <v>PS-1</v>
      </c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1"/>
      <c r="W97" s="75"/>
      <c r="X97" s="75"/>
      <c r="Y97" s="75"/>
      <c r="Z97" s="96">
        <f>SUM(Tableau13[[#This Row],[A-1]:[G-5]])</f>
        <v>0</v>
      </c>
      <c r="AA97" s="96" t="str">
        <f>IF(AND(Z97&gt;0,Tableau13[[#This Row],[CDS]]=""),"Oui","Non")</f>
        <v>Non</v>
      </c>
      <c r="AB97" s="75"/>
      <c r="AC97" s="75"/>
      <c r="AD97" s="75"/>
      <c r="AE97" s="75"/>
      <c r="AF97" s="75"/>
      <c r="AG97" s="75"/>
      <c r="AH97" s="75"/>
      <c r="AI97" s="75"/>
      <c r="AJ97" s="81"/>
      <c r="AK97" s="75"/>
      <c r="AL97" s="75"/>
    </row>
    <row r="98" spans="1:38" ht="15.75" hidden="1" thickBot="1" x14ac:dyDescent="0.3">
      <c r="A98" s="75"/>
      <c r="B98" s="75"/>
      <c r="C98" s="35">
        <f>INDEX(Données!$F$2:$L$54,MATCH(F98,Données!$F$2:$F$54,0),2)</f>
        <v>43934</v>
      </c>
      <c r="D98" s="29" t="str">
        <f t="shared" si="2"/>
        <v>#1</v>
      </c>
      <c r="E98" s="7">
        <f>Données!G17</f>
        <v>43934</v>
      </c>
      <c r="F98" s="6" t="str">
        <f>INDEX(Données!$F$2:$L$54,MATCH('#1'!E98,Données!$G$2:$G$54,1),1)</f>
        <v>16</v>
      </c>
      <c r="G98" s="18" t="str">
        <f t="shared" si="3"/>
        <v>PS-1</v>
      </c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1"/>
      <c r="W98" s="75"/>
      <c r="X98" s="75"/>
      <c r="Y98" s="75"/>
      <c r="Z98" s="96">
        <f>SUM(Tableau13[[#This Row],[A-1]:[G-5]])</f>
        <v>0</v>
      </c>
      <c r="AA98" s="96" t="str">
        <f>IF(AND(Z98&gt;0,Tableau13[[#This Row],[CDS]]=""),"Oui","Non")</f>
        <v>Non</v>
      </c>
      <c r="AB98" s="75"/>
      <c r="AC98" s="75"/>
      <c r="AD98" s="75"/>
      <c r="AE98" s="75"/>
      <c r="AF98" s="75"/>
      <c r="AG98" s="75"/>
      <c r="AH98" s="75"/>
      <c r="AI98" s="75"/>
      <c r="AJ98" s="81"/>
      <c r="AK98" s="75"/>
      <c r="AL98" s="75"/>
    </row>
    <row r="99" spans="1:38" ht="15.75" hidden="1" thickBot="1" x14ac:dyDescent="0.3">
      <c r="A99" s="75"/>
      <c r="B99" s="75"/>
      <c r="C99" s="35">
        <f>INDEX(Données!$F$2:$L$54,MATCH(F99,Données!$F$2:$F$54,0),2)</f>
        <v>43934</v>
      </c>
      <c r="D99" s="29" t="str">
        <f t="shared" si="2"/>
        <v>#1</v>
      </c>
      <c r="E99" s="7">
        <f>Données!H17</f>
        <v>43935</v>
      </c>
      <c r="F99" s="6" t="str">
        <f>INDEX(Données!$F$2:$L$54,MATCH('#1'!E99,Données!$G$2:$G$54,1),1)</f>
        <v>16</v>
      </c>
      <c r="G99" s="18" t="str">
        <f t="shared" si="3"/>
        <v>PS-1</v>
      </c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1"/>
      <c r="W99" s="75"/>
      <c r="X99" s="75"/>
      <c r="Y99" s="75"/>
      <c r="Z99" s="96">
        <f>SUM(Tableau13[[#This Row],[A-1]:[G-5]])</f>
        <v>0</v>
      </c>
      <c r="AA99" s="96" t="str">
        <f>IF(AND(Z99&gt;0,Tableau13[[#This Row],[CDS]]=""),"Oui","Non")</f>
        <v>Non</v>
      </c>
      <c r="AB99" s="75"/>
      <c r="AC99" s="75"/>
      <c r="AD99" s="75"/>
      <c r="AE99" s="75"/>
      <c r="AF99" s="75"/>
      <c r="AG99" s="75"/>
      <c r="AH99" s="75"/>
      <c r="AI99" s="75"/>
      <c r="AJ99" s="81"/>
      <c r="AK99" s="75"/>
      <c r="AL99" s="75"/>
    </row>
    <row r="100" spans="1:38" ht="15.75" hidden="1" thickBot="1" x14ac:dyDescent="0.3">
      <c r="A100" s="75"/>
      <c r="B100" s="75"/>
      <c r="C100" s="35">
        <f>INDEX(Données!$F$2:$L$54,MATCH(F100,Données!$F$2:$F$54,0),2)</f>
        <v>43934</v>
      </c>
      <c r="D100" s="29" t="str">
        <f t="shared" si="2"/>
        <v>#1</v>
      </c>
      <c r="E100" s="7">
        <f>Données!I17</f>
        <v>43936</v>
      </c>
      <c r="F100" s="6" t="str">
        <f>INDEX(Données!$F$2:$L$54,MATCH('#1'!E100,Données!$G$2:$G$54,1),1)</f>
        <v>16</v>
      </c>
      <c r="G100" s="18" t="str">
        <f t="shared" si="3"/>
        <v>PS-1</v>
      </c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1"/>
      <c r="W100" s="75"/>
      <c r="X100" s="75"/>
      <c r="Y100" s="75"/>
      <c r="Z100" s="96">
        <f>SUM(Tableau13[[#This Row],[A-1]:[G-5]])</f>
        <v>0</v>
      </c>
      <c r="AA100" s="96" t="str">
        <f>IF(AND(Z100&gt;0,Tableau13[[#This Row],[CDS]]=""),"Oui","Non")</f>
        <v>Non</v>
      </c>
      <c r="AB100" s="75"/>
      <c r="AC100" s="75"/>
      <c r="AD100" s="75"/>
      <c r="AE100" s="75"/>
      <c r="AF100" s="75"/>
      <c r="AG100" s="75"/>
      <c r="AH100" s="75"/>
      <c r="AI100" s="75"/>
      <c r="AJ100" s="81"/>
      <c r="AK100" s="75"/>
      <c r="AL100" s="75"/>
    </row>
    <row r="101" spans="1:38" ht="15.75" hidden="1" thickBot="1" x14ac:dyDescent="0.3">
      <c r="A101" s="75"/>
      <c r="B101" s="75"/>
      <c r="C101" s="35">
        <f>INDEX(Données!$F$2:$L$54,MATCH(F101,Données!$F$2:$F$54,0),2)</f>
        <v>43934</v>
      </c>
      <c r="D101" s="29" t="str">
        <f t="shared" si="2"/>
        <v>#1</v>
      </c>
      <c r="E101" s="7">
        <f>Données!J17</f>
        <v>43937</v>
      </c>
      <c r="F101" s="6" t="str">
        <f>INDEX(Données!$F$2:$L$54,MATCH('#1'!E101,Données!$G$2:$G$54,1),1)</f>
        <v>16</v>
      </c>
      <c r="G101" s="18" t="str">
        <f t="shared" si="3"/>
        <v>PS-1</v>
      </c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1"/>
      <c r="W101" s="75"/>
      <c r="X101" s="75"/>
      <c r="Y101" s="75"/>
      <c r="Z101" s="96">
        <f>SUM(Tableau13[[#This Row],[A-1]:[G-5]])</f>
        <v>0</v>
      </c>
      <c r="AA101" s="96" t="str">
        <f>IF(AND(Z101&gt;0,Tableau13[[#This Row],[CDS]]=""),"Oui","Non")</f>
        <v>Non</v>
      </c>
      <c r="AB101" s="75"/>
      <c r="AC101" s="75"/>
      <c r="AD101" s="75"/>
      <c r="AE101" s="75"/>
      <c r="AF101" s="75"/>
      <c r="AG101" s="75"/>
      <c r="AH101" s="75"/>
      <c r="AI101" s="75"/>
      <c r="AJ101" s="81"/>
      <c r="AK101" s="75"/>
      <c r="AL101" s="75"/>
    </row>
    <row r="102" spans="1:38" ht="15.75" hidden="1" thickBot="1" x14ac:dyDescent="0.3">
      <c r="A102" s="75"/>
      <c r="B102" s="75"/>
      <c r="C102" s="35">
        <f>INDEX(Données!$F$2:$L$54,MATCH(F102,Données!$F$2:$F$54,0),2)</f>
        <v>43934</v>
      </c>
      <c r="D102" s="29" t="str">
        <f t="shared" si="2"/>
        <v>#1</v>
      </c>
      <c r="E102" s="7">
        <f>Données!K17</f>
        <v>43938</v>
      </c>
      <c r="F102" s="6" t="str">
        <f>INDEX(Données!$F$2:$L$54,MATCH('#1'!E102,Données!$G$2:$G$54,1),1)</f>
        <v>16</v>
      </c>
      <c r="G102" s="18" t="str">
        <f t="shared" si="3"/>
        <v>PS-1</v>
      </c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1"/>
      <c r="W102" s="75"/>
      <c r="X102" s="75"/>
      <c r="Y102" s="75"/>
      <c r="Z102" s="96">
        <f>SUM(Tableau13[[#This Row],[A-1]:[G-5]])</f>
        <v>0</v>
      </c>
      <c r="AA102" s="96" t="str">
        <f>IF(AND(Z102&gt;0,Tableau13[[#This Row],[CDS]]=""),"Oui","Non")</f>
        <v>Non</v>
      </c>
      <c r="AB102" s="75"/>
      <c r="AC102" s="75"/>
      <c r="AD102" s="75"/>
      <c r="AE102" s="75"/>
      <c r="AF102" s="75"/>
      <c r="AG102" s="75"/>
      <c r="AH102" s="75"/>
      <c r="AI102" s="75"/>
      <c r="AJ102" s="81"/>
      <c r="AK102" s="75"/>
      <c r="AL102" s="75"/>
    </row>
    <row r="103" spans="1:38" ht="15.75" hidden="1" thickBot="1" x14ac:dyDescent="0.3">
      <c r="A103" s="75"/>
      <c r="B103" s="75"/>
      <c r="C103" s="35">
        <f>INDEX(Données!$F$2:$L$54,MATCH(F103,Données!$F$2:$F$54,0),2)</f>
        <v>43934</v>
      </c>
      <c r="D103" s="29" t="str">
        <f t="shared" si="2"/>
        <v>#1</v>
      </c>
      <c r="E103" s="7">
        <f>Données!L17</f>
        <v>43939</v>
      </c>
      <c r="F103" s="6" t="str">
        <f>INDEX(Données!$F$2:$L$54,MATCH('#1'!E103,Données!$G$2:$G$54,1),1)</f>
        <v>16</v>
      </c>
      <c r="G103" s="18" t="str">
        <f t="shared" si="3"/>
        <v>PS-1</v>
      </c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1"/>
      <c r="W103" s="75"/>
      <c r="X103" s="75"/>
      <c r="Y103" s="75"/>
      <c r="Z103" s="96">
        <f>SUM(Tableau13[[#This Row],[A-1]:[G-5]])</f>
        <v>0</v>
      </c>
      <c r="AA103" s="96" t="str">
        <f>IF(AND(Z103&gt;0,Tableau13[[#This Row],[CDS]]=""),"Oui","Non")</f>
        <v>Non</v>
      </c>
      <c r="AB103" s="75"/>
      <c r="AC103" s="75"/>
      <c r="AD103" s="75"/>
      <c r="AE103" s="75"/>
      <c r="AF103" s="75"/>
      <c r="AG103" s="75"/>
      <c r="AH103" s="75"/>
      <c r="AI103" s="75"/>
      <c r="AJ103" s="81"/>
      <c r="AK103" s="75"/>
      <c r="AL103" s="75"/>
    </row>
    <row r="104" spans="1:38" ht="15.75" hidden="1" thickBot="1" x14ac:dyDescent="0.3">
      <c r="A104" s="75"/>
      <c r="B104" s="75"/>
      <c r="C104" s="35">
        <f>INDEX(Données!$F$2:$L$54,MATCH(F104,Données!$F$2:$F$54,0),2)</f>
        <v>43941</v>
      </c>
      <c r="D104" s="29" t="str">
        <f t="shared" si="2"/>
        <v>#1</v>
      </c>
      <c r="E104" s="7">
        <f>Données!G18</f>
        <v>43941</v>
      </c>
      <c r="F104" s="6" t="str">
        <f>INDEX(Données!$F$2:$L$54,MATCH('#1'!E104,Données!$G$2:$G$54,1),1)</f>
        <v>17</v>
      </c>
      <c r="G104" s="18" t="str">
        <f t="shared" si="3"/>
        <v>PS-1</v>
      </c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1"/>
      <c r="W104" s="75"/>
      <c r="X104" s="75"/>
      <c r="Y104" s="75"/>
      <c r="Z104" s="96">
        <f>SUM(Tableau13[[#This Row],[A-1]:[G-5]])</f>
        <v>0</v>
      </c>
      <c r="AA104" s="96" t="str">
        <f>IF(AND(Z104&gt;0,Tableau13[[#This Row],[CDS]]=""),"Oui","Non")</f>
        <v>Non</v>
      </c>
      <c r="AB104" s="75"/>
      <c r="AC104" s="75"/>
      <c r="AD104" s="75"/>
      <c r="AE104" s="75"/>
      <c r="AF104" s="75"/>
      <c r="AG104" s="75"/>
      <c r="AH104" s="75"/>
      <c r="AI104" s="75"/>
      <c r="AJ104" s="81"/>
      <c r="AK104" s="75"/>
      <c r="AL104" s="75"/>
    </row>
    <row r="105" spans="1:38" ht="15.75" hidden="1" thickBot="1" x14ac:dyDescent="0.3">
      <c r="A105" s="75"/>
      <c r="B105" s="75"/>
      <c r="C105" s="35">
        <f>INDEX(Données!$F$2:$L$54,MATCH(F105,Données!$F$2:$F$54,0),2)</f>
        <v>43941</v>
      </c>
      <c r="D105" s="29" t="str">
        <f t="shared" si="2"/>
        <v>#1</v>
      </c>
      <c r="E105" s="7">
        <f>Données!H18</f>
        <v>43942</v>
      </c>
      <c r="F105" s="6" t="str">
        <f>INDEX(Données!$F$2:$L$54,MATCH('#1'!E105,Données!$G$2:$G$54,1),1)</f>
        <v>17</v>
      </c>
      <c r="G105" s="18" t="str">
        <f t="shared" si="3"/>
        <v>PS-1</v>
      </c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1"/>
      <c r="W105" s="75"/>
      <c r="X105" s="75"/>
      <c r="Y105" s="75"/>
      <c r="Z105" s="96">
        <f>SUM(Tableau13[[#This Row],[A-1]:[G-5]])</f>
        <v>0</v>
      </c>
      <c r="AA105" s="96" t="str">
        <f>IF(AND(Z105&gt;0,Tableau13[[#This Row],[CDS]]=""),"Oui","Non")</f>
        <v>Non</v>
      </c>
      <c r="AB105" s="75"/>
      <c r="AC105" s="75"/>
      <c r="AD105" s="75"/>
      <c r="AE105" s="75"/>
      <c r="AF105" s="75"/>
      <c r="AG105" s="75"/>
      <c r="AH105" s="75"/>
      <c r="AI105" s="75"/>
      <c r="AJ105" s="81"/>
      <c r="AK105" s="75"/>
      <c r="AL105" s="75"/>
    </row>
    <row r="106" spans="1:38" ht="15.75" hidden="1" thickBot="1" x14ac:dyDescent="0.3">
      <c r="A106" s="75"/>
      <c r="B106" s="75"/>
      <c r="C106" s="35">
        <f>INDEX(Données!$F$2:$L$54,MATCH(F106,Données!$F$2:$F$54,0),2)</f>
        <v>43941</v>
      </c>
      <c r="D106" s="29" t="str">
        <f t="shared" si="2"/>
        <v>#1</v>
      </c>
      <c r="E106" s="7">
        <f>Données!I18</f>
        <v>43943</v>
      </c>
      <c r="F106" s="6" t="str">
        <f>INDEX(Données!$F$2:$L$54,MATCH('#1'!E106,Données!$G$2:$G$54,1),1)</f>
        <v>17</v>
      </c>
      <c r="G106" s="18" t="str">
        <f t="shared" si="3"/>
        <v>PS-1</v>
      </c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1"/>
      <c r="W106" s="75"/>
      <c r="X106" s="75"/>
      <c r="Y106" s="75"/>
      <c r="Z106" s="96">
        <f>SUM(Tableau13[[#This Row],[A-1]:[G-5]])</f>
        <v>0</v>
      </c>
      <c r="AA106" s="96" t="str">
        <f>IF(AND(Z106&gt;0,Tableau13[[#This Row],[CDS]]=""),"Oui","Non")</f>
        <v>Non</v>
      </c>
      <c r="AB106" s="75"/>
      <c r="AC106" s="75"/>
      <c r="AD106" s="75"/>
      <c r="AE106" s="75"/>
      <c r="AF106" s="75"/>
      <c r="AG106" s="75"/>
      <c r="AH106" s="75"/>
      <c r="AI106" s="75"/>
      <c r="AJ106" s="81"/>
      <c r="AK106" s="75"/>
      <c r="AL106" s="75"/>
    </row>
    <row r="107" spans="1:38" ht="15.75" hidden="1" thickBot="1" x14ac:dyDescent="0.3">
      <c r="A107" s="75"/>
      <c r="B107" s="75"/>
      <c r="C107" s="35">
        <f>INDEX(Données!$F$2:$L$54,MATCH(F107,Données!$F$2:$F$54,0),2)</f>
        <v>43941</v>
      </c>
      <c r="D107" s="29" t="str">
        <f t="shared" si="2"/>
        <v>#1</v>
      </c>
      <c r="E107" s="7">
        <f>Données!J18</f>
        <v>43944</v>
      </c>
      <c r="F107" s="6" t="str">
        <f>INDEX(Données!$F$2:$L$54,MATCH('#1'!E107,Données!$G$2:$G$54,1),1)</f>
        <v>17</v>
      </c>
      <c r="G107" s="18" t="str">
        <f t="shared" si="3"/>
        <v>PS-1</v>
      </c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1"/>
      <c r="W107" s="75"/>
      <c r="X107" s="75"/>
      <c r="Y107" s="75"/>
      <c r="Z107" s="96">
        <f>SUM(Tableau13[[#This Row],[A-1]:[G-5]])</f>
        <v>0</v>
      </c>
      <c r="AA107" s="96" t="str">
        <f>IF(AND(Z107&gt;0,Tableau13[[#This Row],[CDS]]=""),"Oui","Non")</f>
        <v>Non</v>
      </c>
      <c r="AB107" s="75"/>
      <c r="AC107" s="75"/>
      <c r="AD107" s="75"/>
      <c r="AE107" s="75"/>
      <c r="AF107" s="75"/>
      <c r="AG107" s="75"/>
      <c r="AH107" s="75"/>
      <c r="AI107" s="75"/>
      <c r="AJ107" s="81"/>
      <c r="AK107" s="75"/>
      <c r="AL107" s="75"/>
    </row>
    <row r="108" spans="1:38" ht="15.75" hidden="1" thickBot="1" x14ac:dyDescent="0.3">
      <c r="A108" s="75"/>
      <c r="B108" s="75"/>
      <c r="C108" s="35">
        <f>INDEX(Données!$F$2:$L$54,MATCH(F108,Données!$F$2:$F$54,0),2)</f>
        <v>43941</v>
      </c>
      <c r="D108" s="29" t="str">
        <f t="shared" si="2"/>
        <v>#1</v>
      </c>
      <c r="E108" s="7">
        <f>Données!K18</f>
        <v>43945</v>
      </c>
      <c r="F108" s="6" t="str">
        <f>INDEX(Données!$F$2:$L$54,MATCH('#1'!E108,Données!$G$2:$G$54,1),1)</f>
        <v>17</v>
      </c>
      <c r="G108" s="18" t="str">
        <f t="shared" si="3"/>
        <v>PS-1</v>
      </c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1"/>
      <c r="W108" s="75"/>
      <c r="X108" s="75"/>
      <c r="Y108" s="75"/>
      <c r="Z108" s="96">
        <f>SUM(Tableau13[[#This Row],[A-1]:[G-5]])</f>
        <v>0</v>
      </c>
      <c r="AA108" s="96" t="str">
        <f>IF(AND(Z108&gt;0,Tableau13[[#This Row],[CDS]]=""),"Oui","Non")</f>
        <v>Non</v>
      </c>
      <c r="AB108" s="75"/>
      <c r="AC108" s="75"/>
      <c r="AD108" s="75"/>
      <c r="AE108" s="75"/>
      <c r="AF108" s="75"/>
      <c r="AG108" s="75"/>
      <c r="AH108" s="75"/>
      <c r="AI108" s="75"/>
      <c r="AJ108" s="81"/>
      <c r="AK108" s="75"/>
      <c r="AL108" s="75"/>
    </row>
    <row r="109" spans="1:38" ht="15.75" hidden="1" thickBot="1" x14ac:dyDescent="0.3">
      <c r="A109" s="75"/>
      <c r="B109" s="75"/>
      <c r="C109" s="35">
        <f>INDEX(Données!$F$2:$L$54,MATCH(F109,Données!$F$2:$F$54,0),2)</f>
        <v>43941</v>
      </c>
      <c r="D109" s="29" t="str">
        <f t="shared" si="2"/>
        <v>#1</v>
      </c>
      <c r="E109" s="7">
        <f>Données!L18</f>
        <v>43946</v>
      </c>
      <c r="F109" s="6" t="str">
        <f>INDEX(Données!$F$2:$L$54,MATCH('#1'!E109,Données!$G$2:$G$54,1),1)</f>
        <v>17</v>
      </c>
      <c r="G109" s="18" t="str">
        <f t="shared" si="3"/>
        <v>PS-1</v>
      </c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1"/>
      <c r="W109" s="75"/>
      <c r="X109" s="75"/>
      <c r="Y109" s="75"/>
      <c r="Z109" s="96">
        <f>SUM(Tableau13[[#This Row],[A-1]:[G-5]])</f>
        <v>0</v>
      </c>
      <c r="AA109" s="96" t="str">
        <f>IF(AND(Z109&gt;0,Tableau13[[#This Row],[CDS]]=""),"Oui","Non")</f>
        <v>Non</v>
      </c>
      <c r="AB109" s="75"/>
      <c r="AC109" s="75"/>
      <c r="AD109" s="75"/>
      <c r="AE109" s="75"/>
      <c r="AF109" s="75"/>
      <c r="AG109" s="75"/>
      <c r="AH109" s="75"/>
      <c r="AI109" s="75"/>
      <c r="AJ109" s="81"/>
      <c r="AK109" s="75"/>
      <c r="AL109" s="75"/>
    </row>
    <row r="110" spans="1:38" ht="15.75" hidden="1" thickBot="1" x14ac:dyDescent="0.3">
      <c r="A110" s="75"/>
      <c r="B110" s="75"/>
      <c r="C110" s="35">
        <f>INDEX(Données!$F$2:$L$54,MATCH(F110,Données!$F$2:$F$54,0),2)</f>
        <v>43948</v>
      </c>
      <c r="D110" s="29" t="str">
        <f t="shared" si="2"/>
        <v>#1</v>
      </c>
      <c r="E110" s="7">
        <f>Données!G19</f>
        <v>43948</v>
      </c>
      <c r="F110" s="6" t="str">
        <f>INDEX(Données!$F$2:$L$54,MATCH('#1'!E110,Données!$G$2:$G$54,1),1)</f>
        <v>18</v>
      </c>
      <c r="G110" s="18" t="str">
        <f t="shared" si="3"/>
        <v>PS-1</v>
      </c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1"/>
      <c r="W110" s="75"/>
      <c r="X110" s="75"/>
      <c r="Y110" s="75"/>
      <c r="Z110" s="96">
        <f>SUM(Tableau13[[#This Row],[A-1]:[G-5]])</f>
        <v>0</v>
      </c>
      <c r="AA110" s="96" t="str">
        <f>IF(AND(Z110&gt;0,Tableau13[[#This Row],[CDS]]=""),"Oui","Non")</f>
        <v>Non</v>
      </c>
      <c r="AB110" s="75"/>
      <c r="AC110" s="75"/>
      <c r="AD110" s="75"/>
      <c r="AE110" s="75"/>
      <c r="AF110" s="75"/>
      <c r="AG110" s="75"/>
      <c r="AH110" s="75"/>
      <c r="AI110" s="75"/>
      <c r="AJ110" s="81"/>
      <c r="AK110" s="75"/>
      <c r="AL110" s="75"/>
    </row>
    <row r="111" spans="1:38" ht="15.75" hidden="1" thickBot="1" x14ac:dyDescent="0.3">
      <c r="A111" s="75"/>
      <c r="B111" s="75"/>
      <c r="C111" s="35">
        <f>INDEX(Données!$F$2:$L$54,MATCH(F111,Données!$F$2:$F$54,0),2)</f>
        <v>43948</v>
      </c>
      <c r="D111" s="29" t="str">
        <f t="shared" si="2"/>
        <v>#1</v>
      </c>
      <c r="E111" s="7">
        <f>Données!H19</f>
        <v>43949</v>
      </c>
      <c r="F111" s="6" t="str">
        <f>INDEX(Données!$F$2:$L$54,MATCH('#1'!E111,Données!$G$2:$G$54,1),1)</f>
        <v>18</v>
      </c>
      <c r="G111" s="18" t="str">
        <f t="shared" si="3"/>
        <v>PS-1</v>
      </c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1"/>
      <c r="W111" s="75"/>
      <c r="X111" s="75"/>
      <c r="Y111" s="75"/>
      <c r="Z111" s="96">
        <f>SUM(Tableau13[[#This Row],[A-1]:[G-5]])</f>
        <v>0</v>
      </c>
      <c r="AA111" s="96" t="str">
        <f>IF(AND(Z111&gt;0,Tableau13[[#This Row],[CDS]]=""),"Oui","Non")</f>
        <v>Non</v>
      </c>
      <c r="AB111" s="75"/>
      <c r="AC111" s="75"/>
      <c r="AD111" s="75"/>
      <c r="AE111" s="75"/>
      <c r="AF111" s="75"/>
      <c r="AG111" s="75"/>
      <c r="AH111" s="75"/>
      <c r="AI111" s="75"/>
      <c r="AJ111" s="81"/>
      <c r="AK111" s="75"/>
      <c r="AL111" s="75"/>
    </row>
    <row r="112" spans="1:38" ht="15.75" hidden="1" thickBot="1" x14ac:dyDescent="0.3">
      <c r="A112" s="75"/>
      <c r="B112" s="75"/>
      <c r="C112" s="35">
        <f>INDEX(Données!$F$2:$L$54,MATCH(F112,Données!$F$2:$F$54,0),2)</f>
        <v>43948</v>
      </c>
      <c r="D112" s="29" t="str">
        <f t="shared" si="2"/>
        <v>#1</v>
      </c>
      <c r="E112" s="7">
        <f>Données!I19</f>
        <v>43950</v>
      </c>
      <c r="F112" s="6" t="str">
        <f>INDEX(Données!$F$2:$L$54,MATCH('#1'!E112,Données!$G$2:$G$54,1),1)</f>
        <v>18</v>
      </c>
      <c r="G112" s="18" t="str">
        <f t="shared" si="3"/>
        <v>PS-1</v>
      </c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1"/>
      <c r="W112" s="75"/>
      <c r="X112" s="75"/>
      <c r="Y112" s="75"/>
      <c r="Z112" s="96">
        <f>SUM(Tableau13[[#This Row],[A-1]:[G-5]])</f>
        <v>0</v>
      </c>
      <c r="AA112" s="96" t="str">
        <f>IF(AND(Z112&gt;0,Tableau13[[#This Row],[CDS]]=""),"Oui","Non")</f>
        <v>Non</v>
      </c>
      <c r="AB112" s="75"/>
      <c r="AC112" s="75"/>
      <c r="AD112" s="75"/>
      <c r="AE112" s="75"/>
      <c r="AF112" s="75"/>
      <c r="AG112" s="75"/>
      <c r="AH112" s="75"/>
      <c r="AI112" s="75"/>
      <c r="AJ112" s="81"/>
      <c r="AK112" s="75"/>
      <c r="AL112" s="75"/>
    </row>
    <row r="113" spans="1:38" ht="15.75" hidden="1" thickBot="1" x14ac:dyDescent="0.3">
      <c r="A113" s="75"/>
      <c r="B113" s="75"/>
      <c r="C113" s="35">
        <f>INDEX(Données!$F$2:$L$54,MATCH(F113,Données!$F$2:$F$54,0),2)</f>
        <v>43948</v>
      </c>
      <c r="D113" s="29" t="str">
        <f t="shared" si="2"/>
        <v>#1</v>
      </c>
      <c r="E113" s="7">
        <f>Données!J19</f>
        <v>43951</v>
      </c>
      <c r="F113" s="6" t="str">
        <f>INDEX(Données!$F$2:$L$54,MATCH('#1'!E113,Données!$G$2:$G$54,1),1)</f>
        <v>18</v>
      </c>
      <c r="G113" s="18" t="str">
        <f t="shared" si="3"/>
        <v>PS-1</v>
      </c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1"/>
      <c r="W113" s="75"/>
      <c r="X113" s="75"/>
      <c r="Y113" s="75"/>
      <c r="Z113" s="96">
        <f>SUM(Tableau13[[#This Row],[A-1]:[G-5]])</f>
        <v>0</v>
      </c>
      <c r="AA113" s="96" t="str">
        <f>IF(AND(Z113&gt;0,Tableau13[[#This Row],[CDS]]=""),"Oui","Non")</f>
        <v>Non</v>
      </c>
      <c r="AB113" s="75"/>
      <c r="AC113" s="75"/>
      <c r="AD113" s="75"/>
      <c r="AE113" s="75"/>
      <c r="AF113" s="75"/>
      <c r="AG113" s="75"/>
      <c r="AH113" s="75"/>
      <c r="AI113" s="75"/>
      <c r="AJ113" s="81"/>
      <c r="AK113" s="75"/>
      <c r="AL113" s="75"/>
    </row>
    <row r="114" spans="1:38" ht="15.75" hidden="1" thickBot="1" x14ac:dyDescent="0.3">
      <c r="A114" s="75"/>
      <c r="B114" s="75"/>
      <c r="C114" s="35">
        <f>INDEX(Données!$F$2:$L$54,MATCH(F114,Données!$F$2:$F$54,0),2)</f>
        <v>43948</v>
      </c>
      <c r="D114" s="29" t="str">
        <f t="shared" si="2"/>
        <v>#1</v>
      </c>
      <c r="E114" s="7">
        <f>Données!K19</f>
        <v>43952</v>
      </c>
      <c r="F114" s="6" t="str">
        <f>INDEX(Données!$F$2:$L$54,MATCH('#1'!E114,Données!$G$2:$G$54,1),1)</f>
        <v>18</v>
      </c>
      <c r="G114" s="18" t="str">
        <f t="shared" si="3"/>
        <v>PS-1</v>
      </c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1"/>
      <c r="W114" s="75"/>
      <c r="X114" s="75"/>
      <c r="Y114" s="75"/>
      <c r="Z114" s="96">
        <f>SUM(Tableau13[[#This Row],[A-1]:[G-5]])</f>
        <v>0</v>
      </c>
      <c r="AA114" s="96" t="str">
        <f>IF(AND(Z114&gt;0,Tableau13[[#This Row],[CDS]]=""),"Oui","Non")</f>
        <v>Non</v>
      </c>
      <c r="AB114" s="75"/>
      <c r="AC114" s="75"/>
      <c r="AD114" s="75"/>
      <c r="AE114" s="75"/>
      <c r="AF114" s="75"/>
      <c r="AG114" s="75"/>
      <c r="AH114" s="75"/>
      <c r="AI114" s="75"/>
      <c r="AJ114" s="81"/>
      <c r="AK114" s="75"/>
      <c r="AL114" s="75"/>
    </row>
    <row r="115" spans="1:38" ht="15.75" hidden="1" thickBot="1" x14ac:dyDescent="0.3">
      <c r="A115" s="75"/>
      <c r="B115" s="75"/>
      <c r="C115" s="35">
        <f>INDEX(Données!$F$2:$L$54,MATCH(F115,Données!$F$2:$F$54,0),2)</f>
        <v>43948</v>
      </c>
      <c r="D115" s="29" t="str">
        <f t="shared" si="2"/>
        <v>#1</v>
      </c>
      <c r="E115" s="7">
        <f>Données!L19</f>
        <v>43953</v>
      </c>
      <c r="F115" s="6" t="str">
        <f>INDEX(Données!$F$2:$L$54,MATCH('#1'!E115,Données!$G$2:$G$54,1),1)</f>
        <v>18</v>
      </c>
      <c r="G115" s="18" t="str">
        <f t="shared" si="3"/>
        <v>PS-1</v>
      </c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1"/>
      <c r="W115" s="75"/>
      <c r="X115" s="75"/>
      <c r="Y115" s="75"/>
      <c r="Z115" s="96">
        <f>SUM(Tableau13[[#This Row],[A-1]:[G-5]])</f>
        <v>0</v>
      </c>
      <c r="AA115" s="96" t="str">
        <f>IF(AND(Z115&gt;0,Tableau13[[#This Row],[CDS]]=""),"Oui","Non")</f>
        <v>Non</v>
      </c>
      <c r="AB115" s="75"/>
      <c r="AC115" s="75"/>
      <c r="AD115" s="75"/>
      <c r="AE115" s="75"/>
      <c r="AF115" s="75"/>
      <c r="AG115" s="75"/>
      <c r="AH115" s="75"/>
      <c r="AI115" s="75"/>
      <c r="AJ115" s="81"/>
      <c r="AK115" s="75"/>
      <c r="AL115" s="75"/>
    </row>
    <row r="116" spans="1:38" ht="15.75" hidden="1" thickBot="1" x14ac:dyDescent="0.3">
      <c r="A116" s="75"/>
      <c r="B116" s="75"/>
      <c r="C116" s="35">
        <f>INDEX(Données!$F$2:$L$54,MATCH(F116,Données!$F$2:$F$54,0),2)</f>
        <v>43955</v>
      </c>
      <c r="D116" s="29" t="str">
        <f t="shared" si="2"/>
        <v>#1</v>
      </c>
      <c r="E116" s="7">
        <f>Données!G20</f>
        <v>43955</v>
      </c>
      <c r="F116" s="6" t="str">
        <f>INDEX(Données!$F$2:$L$54,MATCH('#1'!E116,Données!$G$2:$G$54,1),1)</f>
        <v>19</v>
      </c>
      <c r="G116" s="18" t="str">
        <f t="shared" si="3"/>
        <v>PS-1</v>
      </c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1"/>
      <c r="W116" s="75"/>
      <c r="X116" s="75"/>
      <c r="Y116" s="75"/>
      <c r="Z116" s="96">
        <f>SUM(Tableau13[[#This Row],[A-1]:[G-5]])</f>
        <v>0</v>
      </c>
      <c r="AA116" s="96" t="str">
        <f>IF(AND(Z116&gt;0,Tableau13[[#This Row],[CDS]]=""),"Oui","Non")</f>
        <v>Non</v>
      </c>
      <c r="AB116" s="75"/>
      <c r="AC116" s="75"/>
      <c r="AD116" s="75"/>
      <c r="AE116" s="75"/>
      <c r="AF116" s="75"/>
      <c r="AG116" s="75"/>
      <c r="AH116" s="75"/>
      <c r="AI116" s="75"/>
      <c r="AJ116" s="81"/>
      <c r="AK116" s="75"/>
      <c r="AL116" s="75"/>
    </row>
    <row r="117" spans="1:38" ht="15.75" hidden="1" thickBot="1" x14ac:dyDescent="0.3">
      <c r="A117" s="75"/>
      <c r="B117" s="75"/>
      <c r="C117" s="35">
        <f>INDEX(Données!$F$2:$L$54,MATCH(F117,Données!$F$2:$F$54,0),2)</f>
        <v>43955</v>
      </c>
      <c r="D117" s="29" t="str">
        <f t="shared" si="2"/>
        <v>#1</v>
      </c>
      <c r="E117" s="7">
        <f>Données!H20</f>
        <v>43956</v>
      </c>
      <c r="F117" s="6" t="str">
        <f>INDEX(Données!$F$2:$L$54,MATCH('#1'!E117,Données!$G$2:$G$54,1),1)</f>
        <v>19</v>
      </c>
      <c r="G117" s="18" t="str">
        <f t="shared" si="3"/>
        <v>PS-1</v>
      </c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1"/>
      <c r="W117" s="75"/>
      <c r="X117" s="75"/>
      <c r="Y117" s="75"/>
      <c r="Z117" s="96">
        <f>SUM(Tableau13[[#This Row],[A-1]:[G-5]])</f>
        <v>0</v>
      </c>
      <c r="AA117" s="96" t="str">
        <f>IF(AND(Z117&gt;0,Tableau13[[#This Row],[CDS]]=""),"Oui","Non")</f>
        <v>Non</v>
      </c>
      <c r="AB117" s="75"/>
      <c r="AC117" s="75"/>
      <c r="AD117" s="75"/>
      <c r="AE117" s="75"/>
      <c r="AF117" s="75"/>
      <c r="AG117" s="75"/>
      <c r="AH117" s="75"/>
      <c r="AI117" s="75"/>
      <c r="AJ117" s="81"/>
      <c r="AK117" s="75"/>
      <c r="AL117" s="75"/>
    </row>
    <row r="118" spans="1:38" ht="15.75" hidden="1" thickBot="1" x14ac:dyDescent="0.3">
      <c r="A118" s="75"/>
      <c r="B118" s="75"/>
      <c r="C118" s="35">
        <f>INDEX(Données!$F$2:$L$54,MATCH(F118,Données!$F$2:$F$54,0),2)</f>
        <v>43955</v>
      </c>
      <c r="D118" s="29" t="str">
        <f t="shared" si="2"/>
        <v>#1</v>
      </c>
      <c r="E118" s="7">
        <f>Données!I20</f>
        <v>43957</v>
      </c>
      <c r="F118" s="6" t="str">
        <f>INDEX(Données!$F$2:$L$54,MATCH('#1'!E118,Données!$G$2:$G$54,1),1)</f>
        <v>19</v>
      </c>
      <c r="G118" s="18" t="str">
        <f t="shared" si="3"/>
        <v>PS-1</v>
      </c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1"/>
      <c r="W118" s="75"/>
      <c r="X118" s="75"/>
      <c r="Y118" s="75"/>
      <c r="Z118" s="96">
        <f>SUM(Tableau13[[#This Row],[A-1]:[G-5]])</f>
        <v>0</v>
      </c>
      <c r="AA118" s="96" t="str">
        <f>IF(AND(Z118&gt;0,Tableau13[[#This Row],[CDS]]=""),"Oui","Non")</f>
        <v>Non</v>
      </c>
      <c r="AB118" s="75"/>
      <c r="AC118" s="75"/>
      <c r="AD118" s="75"/>
      <c r="AE118" s="75"/>
      <c r="AF118" s="75"/>
      <c r="AG118" s="75"/>
      <c r="AH118" s="75"/>
      <c r="AI118" s="75"/>
      <c r="AJ118" s="81"/>
      <c r="AK118" s="75"/>
      <c r="AL118" s="75"/>
    </row>
    <row r="119" spans="1:38" ht="15.75" hidden="1" thickBot="1" x14ac:dyDescent="0.3">
      <c r="A119" s="75"/>
      <c r="B119" s="75"/>
      <c r="C119" s="35">
        <f>INDEX(Données!$F$2:$L$54,MATCH(F119,Données!$F$2:$F$54,0),2)</f>
        <v>43955</v>
      </c>
      <c r="D119" s="29" t="str">
        <f t="shared" si="2"/>
        <v>#1</v>
      </c>
      <c r="E119" s="7">
        <f>Données!J20</f>
        <v>43958</v>
      </c>
      <c r="F119" s="6" t="str">
        <f>INDEX(Données!$F$2:$L$54,MATCH('#1'!E119,Données!$G$2:$G$54,1),1)</f>
        <v>19</v>
      </c>
      <c r="G119" s="18" t="str">
        <f t="shared" si="3"/>
        <v>PS-1</v>
      </c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1"/>
      <c r="W119" s="75"/>
      <c r="X119" s="75"/>
      <c r="Y119" s="75"/>
      <c r="Z119" s="96">
        <f>SUM(Tableau13[[#This Row],[A-1]:[G-5]])</f>
        <v>0</v>
      </c>
      <c r="AA119" s="96" t="str">
        <f>IF(AND(Z119&gt;0,Tableau13[[#This Row],[CDS]]=""),"Oui","Non")</f>
        <v>Non</v>
      </c>
      <c r="AB119" s="75"/>
      <c r="AC119" s="75"/>
      <c r="AD119" s="75"/>
      <c r="AE119" s="75"/>
      <c r="AF119" s="75"/>
      <c r="AG119" s="75"/>
      <c r="AH119" s="75"/>
      <c r="AI119" s="75"/>
      <c r="AJ119" s="81"/>
      <c r="AK119" s="75"/>
      <c r="AL119" s="75"/>
    </row>
    <row r="120" spans="1:38" ht="15.75" hidden="1" thickBot="1" x14ac:dyDescent="0.3">
      <c r="A120" s="75"/>
      <c r="B120" s="75"/>
      <c r="C120" s="35">
        <f>INDEX(Données!$F$2:$L$54,MATCH(F120,Données!$F$2:$F$54,0),2)</f>
        <v>43955</v>
      </c>
      <c r="D120" s="29" t="str">
        <f t="shared" si="2"/>
        <v>#1</v>
      </c>
      <c r="E120" s="7">
        <f>Données!K20</f>
        <v>43959</v>
      </c>
      <c r="F120" s="6" t="str">
        <f>INDEX(Données!$F$2:$L$54,MATCH('#1'!E120,Données!$G$2:$G$54,1),1)</f>
        <v>19</v>
      </c>
      <c r="G120" s="18" t="str">
        <f t="shared" si="3"/>
        <v>PS-1</v>
      </c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1"/>
      <c r="W120" s="75"/>
      <c r="X120" s="75"/>
      <c r="Y120" s="75"/>
      <c r="Z120" s="96">
        <f>SUM(Tableau13[[#This Row],[A-1]:[G-5]])</f>
        <v>0</v>
      </c>
      <c r="AA120" s="96" t="str">
        <f>IF(AND(Z120&gt;0,Tableau13[[#This Row],[CDS]]=""),"Oui","Non")</f>
        <v>Non</v>
      </c>
      <c r="AB120" s="75"/>
      <c r="AC120" s="75"/>
      <c r="AD120" s="75"/>
      <c r="AE120" s="75"/>
      <c r="AF120" s="75"/>
      <c r="AG120" s="75"/>
      <c r="AH120" s="75"/>
      <c r="AI120" s="75"/>
      <c r="AJ120" s="81"/>
      <c r="AK120" s="75"/>
      <c r="AL120" s="75"/>
    </row>
    <row r="121" spans="1:38" ht="15.75" hidden="1" thickBot="1" x14ac:dyDescent="0.3">
      <c r="A121" s="75"/>
      <c r="B121" s="75"/>
      <c r="C121" s="35">
        <f>INDEX(Données!$F$2:$L$54,MATCH(F121,Données!$F$2:$F$54,0),2)</f>
        <v>43955</v>
      </c>
      <c r="D121" s="29" t="str">
        <f t="shared" si="2"/>
        <v>#1</v>
      </c>
      <c r="E121" s="7">
        <f>Données!L20</f>
        <v>43960</v>
      </c>
      <c r="F121" s="6" t="str">
        <f>INDEX(Données!$F$2:$L$54,MATCH('#1'!E121,Données!$G$2:$G$54,1),1)</f>
        <v>19</v>
      </c>
      <c r="G121" s="18" t="str">
        <f t="shared" si="3"/>
        <v>PS-1</v>
      </c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1"/>
      <c r="W121" s="75"/>
      <c r="X121" s="75"/>
      <c r="Y121" s="75"/>
      <c r="Z121" s="96">
        <f>SUM(Tableau13[[#This Row],[A-1]:[G-5]])</f>
        <v>0</v>
      </c>
      <c r="AA121" s="96" t="str">
        <f>IF(AND(Z121&gt;0,Tableau13[[#This Row],[CDS]]=""),"Oui","Non")</f>
        <v>Non</v>
      </c>
      <c r="AB121" s="75"/>
      <c r="AC121" s="75"/>
      <c r="AD121" s="75"/>
      <c r="AE121" s="75"/>
      <c r="AF121" s="75"/>
      <c r="AG121" s="75"/>
      <c r="AH121" s="75"/>
      <c r="AI121" s="75"/>
      <c r="AJ121" s="81"/>
      <c r="AK121" s="75"/>
      <c r="AL121" s="75"/>
    </row>
    <row r="122" spans="1:38" ht="15.75" hidden="1" thickBot="1" x14ac:dyDescent="0.3">
      <c r="A122" s="75"/>
      <c r="B122" s="75"/>
      <c r="C122" s="35">
        <f>INDEX(Données!$F$2:$L$54,MATCH(F122,Données!$F$2:$F$54,0),2)</f>
        <v>43962</v>
      </c>
      <c r="D122" s="29" t="str">
        <f t="shared" si="2"/>
        <v>#1</v>
      </c>
      <c r="E122" s="7">
        <f>Données!G21</f>
        <v>43962</v>
      </c>
      <c r="F122" s="6" t="str">
        <f>INDEX(Données!$F$2:$L$54,MATCH('#1'!E122,Données!$G$2:$G$54,1),1)</f>
        <v>20</v>
      </c>
      <c r="G122" s="18" t="str">
        <f t="shared" si="3"/>
        <v>PS-1</v>
      </c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1"/>
      <c r="W122" s="75"/>
      <c r="X122" s="75"/>
      <c r="Y122" s="75"/>
      <c r="Z122" s="96">
        <f>SUM(Tableau13[[#This Row],[A-1]:[G-5]])</f>
        <v>0</v>
      </c>
      <c r="AA122" s="96" t="str">
        <f>IF(AND(Z122&gt;0,Tableau13[[#This Row],[CDS]]=""),"Oui","Non")</f>
        <v>Non</v>
      </c>
      <c r="AB122" s="75"/>
      <c r="AC122" s="75"/>
      <c r="AD122" s="75"/>
      <c r="AE122" s="75"/>
      <c r="AF122" s="75"/>
      <c r="AG122" s="75"/>
      <c r="AH122" s="75"/>
      <c r="AI122" s="75"/>
      <c r="AJ122" s="81"/>
      <c r="AK122" s="75"/>
      <c r="AL122" s="75"/>
    </row>
    <row r="123" spans="1:38" ht="15.75" hidden="1" thickBot="1" x14ac:dyDescent="0.3">
      <c r="A123" s="75"/>
      <c r="B123" s="75"/>
      <c r="C123" s="35">
        <f>INDEX(Données!$F$2:$L$54,MATCH(F123,Données!$F$2:$F$54,0),2)</f>
        <v>43962</v>
      </c>
      <c r="D123" s="29" t="str">
        <f t="shared" si="2"/>
        <v>#1</v>
      </c>
      <c r="E123" s="7">
        <f>Données!H21</f>
        <v>43963</v>
      </c>
      <c r="F123" s="6" t="str">
        <f>INDEX(Données!$F$2:$L$54,MATCH('#1'!E123,Données!$G$2:$G$54,1),1)</f>
        <v>20</v>
      </c>
      <c r="G123" s="18" t="str">
        <f t="shared" si="3"/>
        <v>PS-1</v>
      </c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1"/>
      <c r="W123" s="75"/>
      <c r="X123" s="75"/>
      <c r="Y123" s="75"/>
      <c r="Z123" s="96">
        <f>SUM(Tableau13[[#This Row],[A-1]:[G-5]])</f>
        <v>0</v>
      </c>
      <c r="AA123" s="96" t="str">
        <f>IF(AND(Z123&gt;0,Tableau13[[#This Row],[CDS]]=""),"Oui","Non")</f>
        <v>Non</v>
      </c>
      <c r="AB123" s="75"/>
      <c r="AC123" s="75"/>
      <c r="AD123" s="75"/>
      <c r="AE123" s="75"/>
      <c r="AF123" s="75"/>
      <c r="AG123" s="75"/>
      <c r="AH123" s="75"/>
      <c r="AI123" s="75"/>
      <c r="AJ123" s="81"/>
      <c r="AK123" s="75"/>
      <c r="AL123" s="75"/>
    </row>
    <row r="124" spans="1:38" ht="15.75" hidden="1" thickBot="1" x14ac:dyDescent="0.3">
      <c r="A124" s="75"/>
      <c r="B124" s="75"/>
      <c r="C124" s="35">
        <f>INDEX(Données!$F$2:$L$54,MATCH(F124,Données!$F$2:$F$54,0),2)</f>
        <v>43962</v>
      </c>
      <c r="D124" s="29" t="str">
        <f t="shared" si="2"/>
        <v>#1</v>
      </c>
      <c r="E124" s="7">
        <f>Données!I21</f>
        <v>43964</v>
      </c>
      <c r="F124" s="6" t="str">
        <f>INDEX(Données!$F$2:$L$54,MATCH('#1'!E124,Données!$G$2:$G$54,1),1)</f>
        <v>20</v>
      </c>
      <c r="G124" s="18" t="str">
        <f t="shared" si="3"/>
        <v>PS-1</v>
      </c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1"/>
      <c r="W124" s="75"/>
      <c r="X124" s="75"/>
      <c r="Y124" s="75"/>
      <c r="Z124" s="96">
        <f>SUM(Tableau13[[#This Row],[A-1]:[G-5]])</f>
        <v>0</v>
      </c>
      <c r="AA124" s="96" t="str">
        <f>IF(AND(Z124&gt;0,Tableau13[[#This Row],[CDS]]=""),"Oui","Non")</f>
        <v>Non</v>
      </c>
      <c r="AB124" s="75"/>
      <c r="AC124" s="75"/>
      <c r="AD124" s="75"/>
      <c r="AE124" s="75"/>
      <c r="AF124" s="75"/>
      <c r="AG124" s="75"/>
      <c r="AH124" s="75"/>
      <c r="AI124" s="75"/>
      <c r="AJ124" s="81"/>
      <c r="AK124" s="75"/>
      <c r="AL124" s="75"/>
    </row>
    <row r="125" spans="1:38" ht="15.75" hidden="1" thickBot="1" x14ac:dyDescent="0.3">
      <c r="A125" s="75"/>
      <c r="B125" s="75"/>
      <c r="C125" s="35">
        <f>INDEX(Données!$F$2:$L$54,MATCH(F125,Données!$F$2:$F$54,0),2)</f>
        <v>43962</v>
      </c>
      <c r="D125" s="29" t="str">
        <f t="shared" si="2"/>
        <v>#1</v>
      </c>
      <c r="E125" s="7">
        <f>Données!J21</f>
        <v>43965</v>
      </c>
      <c r="F125" s="6" t="str">
        <f>INDEX(Données!$F$2:$L$54,MATCH('#1'!E125,Données!$G$2:$G$54,1),1)</f>
        <v>20</v>
      </c>
      <c r="G125" s="18" t="str">
        <f t="shared" si="3"/>
        <v>PS-1</v>
      </c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1"/>
      <c r="W125" s="75"/>
      <c r="X125" s="75"/>
      <c r="Y125" s="75"/>
      <c r="Z125" s="96">
        <f>SUM(Tableau13[[#This Row],[A-1]:[G-5]])</f>
        <v>0</v>
      </c>
      <c r="AA125" s="96" t="str">
        <f>IF(AND(Z125&gt;0,Tableau13[[#This Row],[CDS]]=""),"Oui","Non")</f>
        <v>Non</v>
      </c>
      <c r="AB125" s="75"/>
      <c r="AC125" s="75"/>
      <c r="AD125" s="75"/>
      <c r="AE125" s="75"/>
      <c r="AF125" s="75"/>
      <c r="AG125" s="75"/>
      <c r="AH125" s="75"/>
      <c r="AI125" s="75"/>
      <c r="AJ125" s="81"/>
      <c r="AK125" s="75"/>
      <c r="AL125" s="75"/>
    </row>
    <row r="126" spans="1:38" ht="15.75" hidden="1" thickBot="1" x14ac:dyDescent="0.3">
      <c r="A126" s="75"/>
      <c r="B126" s="75"/>
      <c r="C126" s="35">
        <f>INDEX(Données!$F$2:$L$54,MATCH(F126,Données!$F$2:$F$54,0),2)</f>
        <v>43962</v>
      </c>
      <c r="D126" s="29" t="str">
        <f t="shared" si="2"/>
        <v>#1</v>
      </c>
      <c r="E126" s="7">
        <f>Données!K21</f>
        <v>43966</v>
      </c>
      <c r="F126" s="6" t="str">
        <f>INDEX(Données!$F$2:$L$54,MATCH('#1'!E126,Données!$G$2:$G$54,1),1)</f>
        <v>20</v>
      </c>
      <c r="G126" s="18" t="str">
        <f t="shared" si="3"/>
        <v>PS-1</v>
      </c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1"/>
      <c r="W126" s="75"/>
      <c r="X126" s="75"/>
      <c r="Y126" s="75"/>
      <c r="Z126" s="96">
        <f>SUM(Tableau13[[#This Row],[A-1]:[G-5]])</f>
        <v>0</v>
      </c>
      <c r="AA126" s="96" t="str">
        <f>IF(AND(Z126&gt;0,Tableau13[[#This Row],[CDS]]=""),"Oui","Non")</f>
        <v>Non</v>
      </c>
      <c r="AB126" s="75"/>
      <c r="AC126" s="75"/>
      <c r="AD126" s="75"/>
      <c r="AE126" s="75"/>
      <c r="AF126" s="75"/>
      <c r="AG126" s="75"/>
      <c r="AH126" s="75"/>
      <c r="AI126" s="75"/>
      <c r="AJ126" s="81"/>
      <c r="AK126" s="75"/>
      <c r="AL126" s="75"/>
    </row>
    <row r="127" spans="1:38" ht="15.75" hidden="1" thickBot="1" x14ac:dyDescent="0.3">
      <c r="A127" s="75"/>
      <c r="B127" s="75"/>
      <c r="C127" s="35">
        <f>INDEX(Données!$F$2:$L$54,MATCH(F127,Données!$F$2:$F$54,0),2)</f>
        <v>43962</v>
      </c>
      <c r="D127" s="29" t="str">
        <f t="shared" si="2"/>
        <v>#1</v>
      </c>
      <c r="E127" s="7">
        <f>Données!L21</f>
        <v>43967</v>
      </c>
      <c r="F127" s="6" t="str">
        <f>INDEX(Données!$F$2:$L$54,MATCH('#1'!E127,Données!$G$2:$G$54,1),1)</f>
        <v>20</v>
      </c>
      <c r="G127" s="18" t="str">
        <f t="shared" si="3"/>
        <v>PS-1</v>
      </c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1"/>
      <c r="W127" s="75"/>
      <c r="X127" s="75"/>
      <c r="Y127" s="75"/>
      <c r="Z127" s="96">
        <f>SUM(Tableau13[[#This Row],[A-1]:[G-5]])</f>
        <v>0</v>
      </c>
      <c r="AA127" s="96" t="str">
        <f>IF(AND(Z127&gt;0,Tableau13[[#This Row],[CDS]]=""),"Oui","Non")</f>
        <v>Non</v>
      </c>
      <c r="AB127" s="75"/>
      <c r="AC127" s="75"/>
      <c r="AD127" s="75"/>
      <c r="AE127" s="75"/>
      <c r="AF127" s="75"/>
      <c r="AG127" s="75"/>
      <c r="AH127" s="75"/>
      <c r="AI127" s="75"/>
      <c r="AJ127" s="81"/>
      <c r="AK127" s="75"/>
      <c r="AL127" s="75"/>
    </row>
    <row r="128" spans="1:38" ht="15.75" hidden="1" thickBot="1" x14ac:dyDescent="0.3">
      <c r="A128" s="75"/>
      <c r="B128" s="75"/>
      <c r="C128" s="35">
        <f>INDEX(Données!$F$2:$L$54,MATCH(F128,Données!$F$2:$F$54,0),2)</f>
        <v>43969</v>
      </c>
      <c r="D128" s="29" t="str">
        <f t="shared" si="2"/>
        <v>#1</v>
      </c>
      <c r="E128" s="7">
        <f>Données!G22</f>
        <v>43969</v>
      </c>
      <c r="F128" s="6" t="str">
        <f>INDEX(Données!$F$2:$L$54,MATCH('#1'!E128,Données!$G$2:$G$54,1),1)</f>
        <v>21</v>
      </c>
      <c r="G128" s="18" t="str">
        <f t="shared" si="3"/>
        <v>PS-1</v>
      </c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1"/>
      <c r="W128" s="75"/>
      <c r="X128" s="75"/>
      <c r="Y128" s="75"/>
      <c r="Z128" s="96">
        <f>SUM(Tableau13[[#This Row],[A-1]:[G-5]])</f>
        <v>0</v>
      </c>
      <c r="AA128" s="96" t="str">
        <f>IF(AND(Z128&gt;0,Tableau13[[#This Row],[CDS]]=""),"Oui","Non")</f>
        <v>Non</v>
      </c>
      <c r="AB128" s="75"/>
      <c r="AC128" s="75"/>
      <c r="AD128" s="75"/>
      <c r="AE128" s="75"/>
      <c r="AF128" s="75"/>
      <c r="AG128" s="75"/>
      <c r="AH128" s="75"/>
      <c r="AI128" s="75"/>
      <c r="AJ128" s="81"/>
      <c r="AK128" s="75"/>
      <c r="AL128" s="75"/>
    </row>
    <row r="129" spans="1:38" ht="15.75" hidden="1" thickBot="1" x14ac:dyDescent="0.3">
      <c r="A129" s="75"/>
      <c r="B129" s="75"/>
      <c r="C129" s="35">
        <f>INDEX(Données!$F$2:$L$54,MATCH(F129,Données!$F$2:$F$54,0),2)</f>
        <v>43969</v>
      </c>
      <c r="D129" s="29" t="str">
        <f t="shared" si="2"/>
        <v>#1</v>
      </c>
      <c r="E129" s="7">
        <f>Données!H22</f>
        <v>43970</v>
      </c>
      <c r="F129" s="6" t="str">
        <f>INDEX(Données!$F$2:$L$54,MATCH('#1'!E129,Données!$G$2:$G$54,1),1)</f>
        <v>21</v>
      </c>
      <c r="G129" s="18" t="str">
        <f t="shared" si="3"/>
        <v>PS-1</v>
      </c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1"/>
      <c r="W129" s="75"/>
      <c r="X129" s="75"/>
      <c r="Y129" s="75"/>
      <c r="Z129" s="96">
        <f>SUM(Tableau13[[#This Row],[A-1]:[G-5]])</f>
        <v>0</v>
      </c>
      <c r="AA129" s="96" t="str">
        <f>IF(AND(Z129&gt;0,Tableau13[[#This Row],[CDS]]=""),"Oui","Non")</f>
        <v>Non</v>
      </c>
      <c r="AB129" s="75"/>
      <c r="AC129" s="75"/>
      <c r="AD129" s="75"/>
      <c r="AE129" s="75"/>
      <c r="AF129" s="75"/>
      <c r="AG129" s="75"/>
      <c r="AH129" s="75"/>
      <c r="AI129" s="75"/>
      <c r="AJ129" s="81"/>
      <c r="AK129" s="75"/>
      <c r="AL129" s="75"/>
    </row>
    <row r="130" spans="1:38" ht="15.75" hidden="1" thickBot="1" x14ac:dyDescent="0.3">
      <c r="A130" s="75"/>
      <c r="B130" s="75"/>
      <c r="C130" s="35">
        <f>INDEX(Données!$F$2:$L$54,MATCH(F130,Données!$F$2:$F$54,0),2)</f>
        <v>43969</v>
      </c>
      <c r="D130" s="29" t="str">
        <f t="shared" si="2"/>
        <v>#1</v>
      </c>
      <c r="E130" s="7">
        <f>Données!I22</f>
        <v>43971</v>
      </c>
      <c r="F130" s="6" t="str">
        <f>INDEX(Données!$F$2:$L$54,MATCH('#1'!E130,Données!$G$2:$G$54,1),1)</f>
        <v>21</v>
      </c>
      <c r="G130" s="18" t="str">
        <f t="shared" si="3"/>
        <v>PS-1</v>
      </c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1"/>
      <c r="W130" s="75"/>
      <c r="X130" s="75"/>
      <c r="Y130" s="75"/>
      <c r="Z130" s="96">
        <f>SUM(Tableau13[[#This Row],[A-1]:[G-5]])</f>
        <v>0</v>
      </c>
      <c r="AA130" s="96" t="str">
        <f>IF(AND(Z130&gt;0,Tableau13[[#This Row],[CDS]]=""),"Oui","Non")</f>
        <v>Non</v>
      </c>
      <c r="AB130" s="75"/>
      <c r="AC130" s="75"/>
      <c r="AD130" s="75"/>
      <c r="AE130" s="75"/>
      <c r="AF130" s="75"/>
      <c r="AG130" s="75"/>
      <c r="AH130" s="75"/>
      <c r="AI130" s="75"/>
      <c r="AJ130" s="81"/>
      <c r="AK130" s="75"/>
      <c r="AL130" s="75"/>
    </row>
    <row r="131" spans="1:38" ht="15.75" hidden="1" thickBot="1" x14ac:dyDescent="0.3">
      <c r="A131" s="75"/>
      <c r="B131" s="75"/>
      <c r="C131" s="35">
        <f>INDEX(Données!$F$2:$L$54,MATCH(F131,Données!$F$2:$F$54,0),2)</f>
        <v>43969</v>
      </c>
      <c r="D131" s="29" t="str">
        <f t="shared" si="2"/>
        <v>#1</v>
      </c>
      <c r="E131" s="7">
        <f>Données!J22</f>
        <v>43972</v>
      </c>
      <c r="F131" s="6" t="str">
        <f>INDEX(Données!$F$2:$L$54,MATCH('#1'!E131,Données!$G$2:$G$54,1),1)</f>
        <v>21</v>
      </c>
      <c r="G131" s="18" t="str">
        <f t="shared" si="3"/>
        <v>PS-1</v>
      </c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1"/>
      <c r="W131" s="75"/>
      <c r="X131" s="75"/>
      <c r="Y131" s="75"/>
      <c r="Z131" s="96">
        <f>SUM(Tableau13[[#This Row],[A-1]:[G-5]])</f>
        <v>0</v>
      </c>
      <c r="AA131" s="96" t="str">
        <f>IF(AND(Z131&gt;0,Tableau13[[#This Row],[CDS]]=""),"Oui","Non")</f>
        <v>Non</v>
      </c>
      <c r="AB131" s="75"/>
      <c r="AC131" s="75"/>
      <c r="AD131" s="75"/>
      <c r="AE131" s="75"/>
      <c r="AF131" s="75"/>
      <c r="AG131" s="75"/>
      <c r="AH131" s="75"/>
      <c r="AI131" s="75"/>
      <c r="AJ131" s="81"/>
      <c r="AK131" s="75"/>
      <c r="AL131" s="75"/>
    </row>
    <row r="132" spans="1:38" ht="15.75" hidden="1" thickBot="1" x14ac:dyDescent="0.3">
      <c r="A132" s="75"/>
      <c r="B132" s="75"/>
      <c r="C132" s="35">
        <f>INDEX(Données!$F$2:$L$54,MATCH(F132,Données!$F$2:$F$54,0),2)</f>
        <v>43969</v>
      </c>
      <c r="D132" s="29" t="str">
        <f t="shared" si="2"/>
        <v>#1</v>
      </c>
      <c r="E132" s="7">
        <f>Données!K22</f>
        <v>43973</v>
      </c>
      <c r="F132" s="6" t="str">
        <f>INDEX(Données!$F$2:$L$54,MATCH('#1'!E132,Données!$G$2:$G$54,1),1)</f>
        <v>21</v>
      </c>
      <c r="G132" s="18" t="str">
        <f t="shared" si="3"/>
        <v>PS-1</v>
      </c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1"/>
      <c r="W132" s="75"/>
      <c r="X132" s="75"/>
      <c r="Y132" s="75"/>
      <c r="Z132" s="96">
        <f>SUM(Tableau13[[#This Row],[A-1]:[G-5]])</f>
        <v>0</v>
      </c>
      <c r="AA132" s="96" t="str">
        <f>IF(AND(Z132&gt;0,Tableau13[[#This Row],[CDS]]=""),"Oui","Non")</f>
        <v>Non</v>
      </c>
      <c r="AB132" s="75"/>
      <c r="AC132" s="75"/>
      <c r="AD132" s="75"/>
      <c r="AE132" s="75"/>
      <c r="AF132" s="75"/>
      <c r="AG132" s="75"/>
      <c r="AH132" s="75"/>
      <c r="AI132" s="75"/>
      <c r="AJ132" s="81"/>
      <c r="AK132" s="75"/>
      <c r="AL132" s="75"/>
    </row>
    <row r="133" spans="1:38" ht="15.75" hidden="1" thickBot="1" x14ac:dyDescent="0.3">
      <c r="A133" s="75"/>
      <c r="B133" s="75"/>
      <c r="C133" s="35">
        <f>INDEX(Données!$F$2:$L$54,MATCH(F133,Données!$F$2:$F$54,0),2)</f>
        <v>43969</v>
      </c>
      <c r="D133" s="29" t="str">
        <f t="shared" si="2"/>
        <v>#1</v>
      </c>
      <c r="E133" s="7">
        <f>Données!L22</f>
        <v>43974</v>
      </c>
      <c r="F133" s="6" t="str">
        <f>INDEX(Données!$F$2:$L$54,MATCH('#1'!E133,Données!$G$2:$G$54,1),1)</f>
        <v>21</v>
      </c>
      <c r="G133" s="18" t="str">
        <f t="shared" si="3"/>
        <v>PS-1</v>
      </c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1"/>
      <c r="W133" s="75"/>
      <c r="X133" s="75"/>
      <c r="Y133" s="75"/>
      <c r="Z133" s="96">
        <f>SUM(Tableau13[[#This Row],[A-1]:[G-5]])</f>
        <v>0</v>
      </c>
      <c r="AA133" s="96" t="str">
        <f>IF(AND(Z133&gt;0,Tableau13[[#This Row],[CDS]]=""),"Oui","Non")</f>
        <v>Non</v>
      </c>
      <c r="AB133" s="75"/>
      <c r="AC133" s="75"/>
      <c r="AD133" s="75"/>
      <c r="AE133" s="75"/>
      <c r="AF133" s="75"/>
      <c r="AG133" s="75"/>
      <c r="AH133" s="75"/>
      <c r="AI133" s="75"/>
      <c r="AJ133" s="81"/>
      <c r="AK133" s="75"/>
      <c r="AL133" s="75"/>
    </row>
    <row r="134" spans="1:38" ht="15.75" hidden="1" thickBot="1" x14ac:dyDescent="0.3">
      <c r="A134" s="75"/>
      <c r="B134" s="75"/>
      <c r="C134" s="35">
        <f>INDEX(Données!$F$2:$L$54,MATCH(F134,Données!$F$2:$F$54,0),2)</f>
        <v>43976</v>
      </c>
      <c r="D134" s="29" t="str">
        <f t="shared" si="2"/>
        <v>#1</v>
      </c>
      <c r="E134" s="7">
        <f>Données!G23</f>
        <v>43976</v>
      </c>
      <c r="F134" s="6" t="str">
        <f>INDEX(Données!$F$2:$L$54,MATCH('#1'!E134,Données!$G$2:$G$54,1),1)</f>
        <v>22</v>
      </c>
      <c r="G134" s="18" t="str">
        <f t="shared" si="3"/>
        <v>PS-1</v>
      </c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1"/>
      <c r="W134" s="75"/>
      <c r="X134" s="75"/>
      <c r="Y134" s="75"/>
      <c r="Z134" s="96">
        <f>SUM(Tableau13[[#This Row],[A-1]:[G-5]])</f>
        <v>0</v>
      </c>
      <c r="AA134" s="96" t="str">
        <f>IF(AND(Z134&gt;0,Tableau13[[#This Row],[CDS]]=""),"Oui","Non")</f>
        <v>Non</v>
      </c>
      <c r="AB134" s="75"/>
      <c r="AC134" s="75"/>
      <c r="AD134" s="75"/>
      <c r="AE134" s="75"/>
      <c r="AF134" s="75"/>
      <c r="AG134" s="75"/>
      <c r="AH134" s="75"/>
      <c r="AI134" s="75"/>
      <c r="AJ134" s="81"/>
      <c r="AK134" s="75"/>
      <c r="AL134" s="75"/>
    </row>
    <row r="135" spans="1:38" ht="15.75" hidden="1" thickBot="1" x14ac:dyDescent="0.3">
      <c r="A135" s="75"/>
      <c r="B135" s="75"/>
      <c r="C135" s="35">
        <f>INDEX(Données!$F$2:$L$54,MATCH(F135,Données!$F$2:$F$54,0),2)</f>
        <v>43976</v>
      </c>
      <c r="D135" s="29" t="str">
        <f t="shared" si="2"/>
        <v>#1</v>
      </c>
      <c r="E135" s="7">
        <f>Données!H23</f>
        <v>43977</v>
      </c>
      <c r="F135" s="6" t="str">
        <f>INDEX(Données!$F$2:$L$54,MATCH('#1'!E135,Données!$G$2:$G$54,1),1)</f>
        <v>22</v>
      </c>
      <c r="G135" s="18" t="str">
        <f t="shared" si="3"/>
        <v>PS-1</v>
      </c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1"/>
      <c r="W135" s="75"/>
      <c r="X135" s="75"/>
      <c r="Y135" s="75"/>
      <c r="Z135" s="96">
        <f>SUM(Tableau13[[#This Row],[A-1]:[G-5]])</f>
        <v>0</v>
      </c>
      <c r="AA135" s="96" t="str">
        <f>IF(AND(Z135&gt;0,Tableau13[[#This Row],[CDS]]=""),"Oui","Non")</f>
        <v>Non</v>
      </c>
      <c r="AB135" s="75"/>
      <c r="AC135" s="75"/>
      <c r="AD135" s="75"/>
      <c r="AE135" s="75"/>
      <c r="AF135" s="75"/>
      <c r="AG135" s="75"/>
      <c r="AH135" s="75"/>
      <c r="AI135" s="75"/>
      <c r="AJ135" s="81"/>
      <c r="AK135" s="75"/>
      <c r="AL135" s="75"/>
    </row>
    <row r="136" spans="1:38" ht="15.75" hidden="1" thickBot="1" x14ac:dyDescent="0.3">
      <c r="A136" s="75"/>
      <c r="B136" s="75"/>
      <c r="C136" s="35">
        <f>INDEX(Données!$F$2:$L$54,MATCH(F136,Données!$F$2:$F$54,0),2)</f>
        <v>43976</v>
      </c>
      <c r="D136" s="29" t="str">
        <f t="shared" ref="D136:D199" si="4">$E$4</f>
        <v>#1</v>
      </c>
      <c r="E136" s="7">
        <f>Données!I23</f>
        <v>43978</v>
      </c>
      <c r="F136" s="6" t="str">
        <f>INDEX(Données!$F$2:$L$54,MATCH('#1'!E136,Données!$G$2:$G$54,1),1)</f>
        <v>22</v>
      </c>
      <c r="G136" s="18" t="str">
        <f t="shared" ref="G136:G199" si="5">IF(AND($V$5=1),"PS-1",IF(AND($V$5=2),"PS-2",IF(AND($V$5=4),"PS-4",IF(AND($V$5=6),"S.O.",IF(AND($V$5=5),"")))))</f>
        <v>PS-1</v>
      </c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1"/>
      <c r="W136" s="75"/>
      <c r="X136" s="75"/>
      <c r="Y136" s="75"/>
      <c r="Z136" s="96">
        <f>SUM(Tableau13[[#This Row],[A-1]:[G-5]])</f>
        <v>0</v>
      </c>
      <c r="AA136" s="96" t="str">
        <f>IF(AND(Z136&gt;0,Tableau13[[#This Row],[CDS]]=""),"Oui","Non")</f>
        <v>Non</v>
      </c>
      <c r="AB136" s="75"/>
      <c r="AC136" s="75"/>
      <c r="AD136" s="75"/>
      <c r="AE136" s="75"/>
      <c r="AF136" s="75"/>
      <c r="AG136" s="75"/>
      <c r="AH136" s="75"/>
      <c r="AI136" s="75"/>
      <c r="AJ136" s="81"/>
      <c r="AK136" s="75"/>
      <c r="AL136" s="75"/>
    </row>
    <row r="137" spans="1:38" ht="15.75" hidden="1" thickBot="1" x14ac:dyDescent="0.3">
      <c r="A137" s="75"/>
      <c r="B137" s="75"/>
      <c r="C137" s="35">
        <f>INDEX(Données!$F$2:$L$54,MATCH(F137,Données!$F$2:$F$54,0),2)</f>
        <v>43976</v>
      </c>
      <c r="D137" s="29" t="str">
        <f t="shared" si="4"/>
        <v>#1</v>
      </c>
      <c r="E137" s="7">
        <f>Données!J23</f>
        <v>43979</v>
      </c>
      <c r="F137" s="6" t="str">
        <f>INDEX(Données!$F$2:$L$54,MATCH('#1'!E137,Données!$G$2:$G$54,1),1)</f>
        <v>22</v>
      </c>
      <c r="G137" s="18" t="str">
        <f t="shared" si="5"/>
        <v>PS-1</v>
      </c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1"/>
      <c r="W137" s="75"/>
      <c r="X137" s="75"/>
      <c r="Y137" s="75"/>
      <c r="Z137" s="96">
        <f>SUM(Tableau13[[#This Row],[A-1]:[G-5]])</f>
        <v>0</v>
      </c>
      <c r="AA137" s="96" t="str">
        <f>IF(AND(Z137&gt;0,Tableau13[[#This Row],[CDS]]=""),"Oui","Non")</f>
        <v>Non</v>
      </c>
      <c r="AB137" s="75"/>
      <c r="AC137" s="75"/>
      <c r="AD137" s="75"/>
      <c r="AE137" s="75"/>
      <c r="AF137" s="75"/>
      <c r="AG137" s="75"/>
      <c r="AH137" s="75"/>
      <c r="AI137" s="75"/>
      <c r="AJ137" s="81"/>
      <c r="AK137" s="75"/>
      <c r="AL137" s="75"/>
    </row>
    <row r="138" spans="1:38" ht="15.75" hidden="1" thickBot="1" x14ac:dyDescent="0.3">
      <c r="A138" s="75"/>
      <c r="B138" s="75"/>
      <c r="C138" s="35">
        <f>INDEX(Données!$F$2:$L$54,MATCH(F138,Données!$F$2:$F$54,0),2)</f>
        <v>43976</v>
      </c>
      <c r="D138" s="29" t="str">
        <f t="shared" si="4"/>
        <v>#1</v>
      </c>
      <c r="E138" s="7">
        <f>Données!K23</f>
        <v>43980</v>
      </c>
      <c r="F138" s="6" t="str">
        <f>INDEX(Données!$F$2:$L$54,MATCH('#1'!E138,Données!$G$2:$G$54,1),1)</f>
        <v>22</v>
      </c>
      <c r="G138" s="18" t="str">
        <f t="shared" si="5"/>
        <v>PS-1</v>
      </c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1"/>
      <c r="W138" s="75"/>
      <c r="X138" s="75"/>
      <c r="Y138" s="75"/>
      <c r="Z138" s="96">
        <f>SUM(Tableau13[[#This Row],[A-1]:[G-5]])</f>
        <v>0</v>
      </c>
      <c r="AA138" s="96" t="str">
        <f>IF(AND(Z138&gt;0,Tableau13[[#This Row],[CDS]]=""),"Oui","Non")</f>
        <v>Non</v>
      </c>
      <c r="AB138" s="75"/>
      <c r="AC138" s="75"/>
      <c r="AD138" s="75"/>
      <c r="AE138" s="75"/>
      <c r="AF138" s="75"/>
      <c r="AG138" s="75"/>
      <c r="AH138" s="75"/>
      <c r="AI138" s="75"/>
      <c r="AJ138" s="81"/>
      <c r="AK138" s="75"/>
      <c r="AL138" s="75"/>
    </row>
    <row r="139" spans="1:38" ht="15.75" hidden="1" thickBot="1" x14ac:dyDescent="0.3">
      <c r="A139" s="75"/>
      <c r="B139" s="75"/>
      <c r="C139" s="35">
        <f>INDEX(Données!$F$2:$L$54,MATCH(F139,Données!$F$2:$F$54,0),2)</f>
        <v>43976</v>
      </c>
      <c r="D139" s="29" t="str">
        <f t="shared" si="4"/>
        <v>#1</v>
      </c>
      <c r="E139" s="7">
        <f>Données!L23</f>
        <v>43981</v>
      </c>
      <c r="F139" s="6" t="str">
        <f>INDEX(Données!$F$2:$L$54,MATCH('#1'!E139,Données!$G$2:$G$54,1),1)</f>
        <v>22</v>
      </c>
      <c r="G139" s="18" t="str">
        <f t="shared" si="5"/>
        <v>PS-1</v>
      </c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1"/>
      <c r="W139" s="75"/>
      <c r="X139" s="75"/>
      <c r="Y139" s="75"/>
      <c r="Z139" s="96">
        <f>SUM(Tableau13[[#This Row],[A-1]:[G-5]])</f>
        <v>0</v>
      </c>
      <c r="AA139" s="96" t="str">
        <f>IF(AND(Z139&gt;0,Tableau13[[#This Row],[CDS]]=""),"Oui","Non")</f>
        <v>Non</v>
      </c>
      <c r="AB139" s="75"/>
      <c r="AC139" s="75"/>
      <c r="AD139" s="75"/>
      <c r="AE139" s="75"/>
      <c r="AF139" s="75"/>
      <c r="AG139" s="75"/>
      <c r="AH139" s="75"/>
      <c r="AI139" s="75"/>
      <c r="AJ139" s="81"/>
      <c r="AK139" s="75"/>
      <c r="AL139" s="75"/>
    </row>
    <row r="140" spans="1:38" ht="15.75" hidden="1" thickBot="1" x14ac:dyDescent="0.3">
      <c r="A140" s="75"/>
      <c r="B140" s="75"/>
      <c r="C140" s="35">
        <f>INDEX(Données!$F$2:$L$54,MATCH(F140,Données!$F$2:$F$54,0),2)</f>
        <v>43983</v>
      </c>
      <c r="D140" s="29" t="str">
        <f t="shared" si="4"/>
        <v>#1</v>
      </c>
      <c r="E140" s="7">
        <f>Données!G24</f>
        <v>43983</v>
      </c>
      <c r="F140" s="6" t="str">
        <f>INDEX(Données!$F$2:$L$54,MATCH('#1'!E140,Données!$G$2:$G$54,1),1)</f>
        <v>23</v>
      </c>
      <c r="G140" s="18" t="str">
        <f t="shared" si="5"/>
        <v>PS-1</v>
      </c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1"/>
      <c r="W140" s="75"/>
      <c r="X140" s="75"/>
      <c r="Y140" s="75"/>
      <c r="Z140" s="96">
        <f>SUM(Tableau13[[#This Row],[A-1]:[G-5]])</f>
        <v>0</v>
      </c>
      <c r="AA140" s="96" t="str">
        <f>IF(AND(Z140&gt;0,Tableau13[[#This Row],[CDS]]=""),"Oui","Non")</f>
        <v>Non</v>
      </c>
      <c r="AB140" s="75"/>
      <c r="AC140" s="75"/>
      <c r="AD140" s="75"/>
      <c r="AE140" s="75"/>
      <c r="AF140" s="75"/>
      <c r="AG140" s="75"/>
      <c r="AH140" s="75"/>
      <c r="AI140" s="75"/>
      <c r="AJ140" s="81"/>
      <c r="AK140" s="75"/>
      <c r="AL140" s="75"/>
    </row>
    <row r="141" spans="1:38" ht="15.75" hidden="1" thickBot="1" x14ac:dyDescent="0.3">
      <c r="A141" s="75"/>
      <c r="B141" s="75"/>
      <c r="C141" s="35">
        <f>INDEX(Données!$F$2:$L$54,MATCH(F141,Données!$F$2:$F$54,0),2)</f>
        <v>43983</v>
      </c>
      <c r="D141" s="29" t="str">
        <f t="shared" si="4"/>
        <v>#1</v>
      </c>
      <c r="E141" s="7">
        <f>Données!H24</f>
        <v>43984</v>
      </c>
      <c r="F141" s="6" t="str">
        <f>INDEX(Données!$F$2:$L$54,MATCH('#1'!E141,Données!$G$2:$G$54,1),1)</f>
        <v>23</v>
      </c>
      <c r="G141" s="18" t="str">
        <f t="shared" si="5"/>
        <v>PS-1</v>
      </c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1"/>
      <c r="W141" s="75"/>
      <c r="X141" s="75"/>
      <c r="Y141" s="75"/>
      <c r="Z141" s="96">
        <f>SUM(Tableau13[[#This Row],[A-1]:[G-5]])</f>
        <v>0</v>
      </c>
      <c r="AA141" s="96" t="str">
        <f>IF(AND(Z141&gt;0,Tableau13[[#This Row],[CDS]]=""),"Oui","Non")</f>
        <v>Non</v>
      </c>
      <c r="AB141" s="75"/>
      <c r="AC141" s="75"/>
      <c r="AD141" s="75"/>
      <c r="AE141" s="75"/>
      <c r="AF141" s="75"/>
      <c r="AG141" s="75"/>
      <c r="AH141" s="75"/>
      <c r="AI141" s="75"/>
      <c r="AJ141" s="81"/>
      <c r="AK141" s="75"/>
      <c r="AL141" s="75"/>
    </row>
    <row r="142" spans="1:38" ht="15.75" hidden="1" thickBot="1" x14ac:dyDescent="0.3">
      <c r="A142" s="75"/>
      <c r="B142" s="75"/>
      <c r="C142" s="35">
        <f>INDEX(Données!$F$2:$L$54,MATCH(F142,Données!$F$2:$F$54,0),2)</f>
        <v>43983</v>
      </c>
      <c r="D142" s="29" t="str">
        <f t="shared" si="4"/>
        <v>#1</v>
      </c>
      <c r="E142" s="7">
        <f>Données!I24</f>
        <v>43985</v>
      </c>
      <c r="F142" s="6" t="str">
        <f>INDEX(Données!$F$2:$L$54,MATCH('#1'!E142,Données!$G$2:$G$54,1),1)</f>
        <v>23</v>
      </c>
      <c r="G142" s="18" t="str">
        <f t="shared" si="5"/>
        <v>PS-1</v>
      </c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1"/>
      <c r="W142" s="75"/>
      <c r="X142" s="75"/>
      <c r="Y142" s="75"/>
      <c r="Z142" s="96">
        <f>SUM(Tableau13[[#This Row],[A-1]:[G-5]])</f>
        <v>0</v>
      </c>
      <c r="AA142" s="96" t="str">
        <f>IF(AND(Z142&gt;0,Tableau13[[#This Row],[CDS]]=""),"Oui","Non")</f>
        <v>Non</v>
      </c>
      <c r="AB142" s="75"/>
      <c r="AC142" s="75"/>
      <c r="AD142" s="75"/>
      <c r="AE142" s="75"/>
      <c r="AF142" s="75"/>
      <c r="AG142" s="75"/>
      <c r="AH142" s="75"/>
      <c r="AI142" s="75"/>
      <c r="AJ142" s="81"/>
      <c r="AK142" s="75"/>
      <c r="AL142" s="75"/>
    </row>
    <row r="143" spans="1:38" ht="15.75" hidden="1" thickBot="1" x14ac:dyDescent="0.3">
      <c r="A143" s="75"/>
      <c r="B143" s="75"/>
      <c r="C143" s="35">
        <f>INDEX(Données!$F$2:$L$54,MATCH(F143,Données!$F$2:$F$54,0),2)</f>
        <v>43983</v>
      </c>
      <c r="D143" s="29" t="str">
        <f t="shared" si="4"/>
        <v>#1</v>
      </c>
      <c r="E143" s="7">
        <f>Données!J24</f>
        <v>43986</v>
      </c>
      <c r="F143" s="6" t="str">
        <f>INDEX(Données!$F$2:$L$54,MATCH('#1'!E143,Données!$G$2:$G$54,1),1)</f>
        <v>23</v>
      </c>
      <c r="G143" s="18" t="str">
        <f t="shared" si="5"/>
        <v>PS-1</v>
      </c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1"/>
      <c r="W143" s="75"/>
      <c r="X143" s="75"/>
      <c r="Y143" s="75"/>
      <c r="Z143" s="96">
        <f>SUM(Tableau13[[#This Row],[A-1]:[G-5]])</f>
        <v>0</v>
      </c>
      <c r="AA143" s="96" t="str">
        <f>IF(AND(Z143&gt;0,Tableau13[[#This Row],[CDS]]=""),"Oui","Non")</f>
        <v>Non</v>
      </c>
      <c r="AB143" s="75"/>
      <c r="AC143" s="75"/>
      <c r="AD143" s="75"/>
      <c r="AE143" s="75"/>
      <c r="AF143" s="75"/>
      <c r="AG143" s="75"/>
      <c r="AH143" s="75"/>
      <c r="AI143" s="75"/>
      <c r="AJ143" s="81"/>
      <c r="AK143" s="75"/>
      <c r="AL143" s="75"/>
    </row>
    <row r="144" spans="1:38" ht="15.75" hidden="1" thickBot="1" x14ac:dyDescent="0.3">
      <c r="A144" s="75"/>
      <c r="B144" s="75"/>
      <c r="C144" s="35">
        <f>INDEX(Données!$F$2:$L$54,MATCH(F144,Données!$F$2:$F$54,0),2)</f>
        <v>43983</v>
      </c>
      <c r="D144" s="29" t="str">
        <f t="shared" si="4"/>
        <v>#1</v>
      </c>
      <c r="E144" s="7">
        <f>Données!K24</f>
        <v>43987</v>
      </c>
      <c r="F144" s="6" t="str">
        <f>INDEX(Données!$F$2:$L$54,MATCH('#1'!E144,Données!$G$2:$G$54,1),1)</f>
        <v>23</v>
      </c>
      <c r="G144" s="18" t="str">
        <f t="shared" si="5"/>
        <v>PS-1</v>
      </c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1"/>
      <c r="W144" s="75"/>
      <c r="X144" s="75"/>
      <c r="Y144" s="75"/>
      <c r="Z144" s="96">
        <f>SUM(Tableau13[[#This Row],[A-1]:[G-5]])</f>
        <v>0</v>
      </c>
      <c r="AA144" s="96" t="str">
        <f>IF(AND(Z144&gt;0,Tableau13[[#This Row],[CDS]]=""),"Oui","Non")</f>
        <v>Non</v>
      </c>
      <c r="AB144" s="75"/>
      <c r="AC144" s="75"/>
      <c r="AD144" s="75"/>
      <c r="AE144" s="75"/>
      <c r="AF144" s="75"/>
      <c r="AG144" s="75"/>
      <c r="AH144" s="75"/>
      <c r="AI144" s="75"/>
      <c r="AJ144" s="81"/>
      <c r="AK144" s="75"/>
      <c r="AL144" s="75"/>
    </row>
    <row r="145" spans="1:38" ht="15.75" hidden="1" thickBot="1" x14ac:dyDescent="0.3">
      <c r="A145" s="75"/>
      <c r="B145" s="75"/>
      <c r="C145" s="35">
        <f>INDEX(Données!$F$2:$L$54,MATCH(F145,Données!$F$2:$F$54,0),2)</f>
        <v>43983</v>
      </c>
      <c r="D145" s="29" t="str">
        <f t="shared" si="4"/>
        <v>#1</v>
      </c>
      <c r="E145" s="7">
        <f>Données!L24</f>
        <v>43988</v>
      </c>
      <c r="F145" s="6" t="str">
        <f>INDEX(Données!$F$2:$L$54,MATCH('#1'!E145,Données!$G$2:$G$54,1),1)</f>
        <v>23</v>
      </c>
      <c r="G145" s="18" t="str">
        <f t="shared" si="5"/>
        <v>PS-1</v>
      </c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1"/>
      <c r="W145" s="75"/>
      <c r="X145" s="75"/>
      <c r="Y145" s="75"/>
      <c r="Z145" s="96">
        <f>SUM(Tableau13[[#This Row],[A-1]:[G-5]])</f>
        <v>0</v>
      </c>
      <c r="AA145" s="96" t="str">
        <f>IF(AND(Z145&gt;0,Tableau13[[#This Row],[CDS]]=""),"Oui","Non")</f>
        <v>Non</v>
      </c>
      <c r="AB145" s="75"/>
      <c r="AC145" s="75"/>
      <c r="AD145" s="75"/>
      <c r="AE145" s="75"/>
      <c r="AF145" s="75"/>
      <c r="AG145" s="75"/>
      <c r="AH145" s="75"/>
      <c r="AI145" s="75"/>
      <c r="AJ145" s="81"/>
      <c r="AK145" s="75"/>
      <c r="AL145" s="75"/>
    </row>
    <row r="146" spans="1:38" ht="15.75" hidden="1" thickBot="1" x14ac:dyDescent="0.3">
      <c r="A146" s="75"/>
      <c r="B146" s="75"/>
      <c r="C146" s="35">
        <f>INDEX(Données!$F$2:$L$54,MATCH(F146,Données!$F$2:$F$54,0),2)</f>
        <v>43990</v>
      </c>
      <c r="D146" s="29" t="str">
        <f t="shared" si="4"/>
        <v>#1</v>
      </c>
      <c r="E146" s="7">
        <f>Données!G25</f>
        <v>43990</v>
      </c>
      <c r="F146" s="6" t="str">
        <f>INDEX(Données!$F$2:$L$54,MATCH('#1'!E146,Données!$G$2:$G$54,1),1)</f>
        <v>24</v>
      </c>
      <c r="G146" s="18" t="str">
        <f t="shared" si="5"/>
        <v>PS-1</v>
      </c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1"/>
      <c r="W146" s="75"/>
      <c r="X146" s="75"/>
      <c r="Y146" s="75"/>
      <c r="Z146" s="96">
        <f>SUM(Tableau13[[#This Row],[A-1]:[G-5]])</f>
        <v>0</v>
      </c>
      <c r="AA146" s="96" t="str">
        <f>IF(AND(Z146&gt;0,Tableau13[[#This Row],[CDS]]=""),"Oui","Non")</f>
        <v>Non</v>
      </c>
      <c r="AB146" s="75"/>
      <c r="AC146" s="75"/>
      <c r="AD146" s="75"/>
      <c r="AE146" s="75"/>
      <c r="AF146" s="75"/>
      <c r="AG146" s="75"/>
      <c r="AH146" s="75"/>
      <c r="AI146" s="75"/>
      <c r="AJ146" s="81"/>
      <c r="AK146" s="75"/>
      <c r="AL146" s="75"/>
    </row>
    <row r="147" spans="1:38" ht="15.75" hidden="1" thickBot="1" x14ac:dyDescent="0.3">
      <c r="A147" s="75"/>
      <c r="B147" s="75"/>
      <c r="C147" s="35">
        <f>INDEX(Données!$F$2:$L$54,MATCH(F147,Données!$F$2:$F$54,0),2)</f>
        <v>43990</v>
      </c>
      <c r="D147" s="29" t="str">
        <f t="shared" si="4"/>
        <v>#1</v>
      </c>
      <c r="E147" s="7">
        <f>Données!H25</f>
        <v>43991</v>
      </c>
      <c r="F147" s="6" t="str">
        <f>INDEX(Données!$F$2:$L$54,MATCH('#1'!E147,Données!$G$2:$G$54,1),1)</f>
        <v>24</v>
      </c>
      <c r="G147" s="18" t="str">
        <f t="shared" si="5"/>
        <v>PS-1</v>
      </c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1"/>
      <c r="W147" s="75"/>
      <c r="X147" s="75"/>
      <c r="Y147" s="75"/>
      <c r="Z147" s="96">
        <f>SUM(Tableau13[[#This Row],[A-1]:[G-5]])</f>
        <v>0</v>
      </c>
      <c r="AA147" s="96" t="str">
        <f>IF(AND(Z147&gt;0,Tableau13[[#This Row],[CDS]]=""),"Oui","Non")</f>
        <v>Non</v>
      </c>
      <c r="AB147" s="75"/>
      <c r="AC147" s="75"/>
      <c r="AD147" s="75"/>
      <c r="AE147" s="75"/>
      <c r="AF147" s="75"/>
      <c r="AG147" s="75"/>
      <c r="AH147" s="75"/>
      <c r="AI147" s="75"/>
      <c r="AJ147" s="81"/>
      <c r="AK147" s="75"/>
      <c r="AL147" s="75"/>
    </row>
    <row r="148" spans="1:38" ht="15.75" hidden="1" thickBot="1" x14ac:dyDescent="0.3">
      <c r="A148" s="75"/>
      <c r="B148" s="75"/>
      <c r="C148" s="35">
        <f>INDEX(Données!$F$2:$L$54,MATCH(F148,Données!$F$2:$F$54,0),2)</f>
        <v>43990</v>
      </c>
      <c r="D148" s="29" t="str">
        <f t="shared" si="4"/>
        <v>#1</v>
      </c>
      <c r="E148" s="7">
        <f>Données!I25</f>
        <v>43992</v>
      </c>
      <c r="F148" s="6" t="str">
        <f>INDEX(Données!$F$2:$L$54,MATCH('#1'!E148,Données!$G$2:$G$54,1),1)</f>
        <v>24</v>
      </c>
      <c r="G148" s="18" t="str">
        <f t="shared" si="5"/>
        <v>PS-1</v>
      </c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1"/>
      <c r="W148" s="75"/>
      <c r="X148" s="75"/>
      <c r="Y148" s="75"/>
      <c r="Z148" s="96">
        <f>SUM(Tableau13[[#This Row],[A-1]:[G-5]])</f>
        <v>0</v>
      </c>
      <c r="AA148" s="96" t="str">
        <f>IF(AND(Z148&gt;0,Tableau13[[#This Row],[CDS]]=""),"Oui","Non")</f>
        <v>Non</v>
      </c>
      <c r="AB148" s="75"/>
      <c r="AC148" s="75"/>
      <c r="AD148" s="75"/>
      <c r="AE148" s="75"/>
      <c r="AF148" s="75"/>
      <c r="AG148" s="75"/>
      <c r="AH148" s="75"/>
      <c r="AI148" s="75"/>
      <c r="AJ148" s="81"/>
      <c r="AK148" s="75"/>
      <c r="AL148" s="75"/>
    </row>
    <row r="149" spans="1:38" ht="15.75" hidden="1" thickBot="1" x14ac:dyDescent="0.3">
      <c r="A149" s="75"/>
      <c r="B149" s="75"/>
      <c r="C149" s="35">
        <f>INDEX(Données!$F$2:$L$54,MATCH(F149,Données!$F$2:$F$54,0),2)</f>
        <v>43990</v>
      </c>
      <c r="D149" s="29" t="str">
        <f t="shared" si="4"/>
        <v>#1</v>
      </c>
      <c r="E149" s="7">
        <f>Données!J25</f>
        <v>43993</v>
      </c>
      <c r="F149" s="6" t="str">
        <f>INDEX(Données!$F$2:$L$54,MATCH('#1'!E149,Données!$G$2:$G$54,1),1)</f>
        <v>24</v>
      </c>
      <c r="G149" s="18" t="str">
        <f t="shared" si="5"/>
        <v>PS-1</v>
      </c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1"/>
      <c r="W149" s="75"/>
      <c r="X149" s="75"/>
      <c r="Y149" s="75"/>
      <c r="Z149" s="96">
        <f>SUM(Tableau13[[#This Row],[A-1]:[G-5]])</f>
        <v>0</v>
      </c>
      <c r="AA149" s="96" t="str">
        <f>IF(AND(Z149&gt;0,Tableau13[[#This Row],[CDS]]=""),"Oui","Non")</f>
        <v>Non</v>
      </c>
      <c r="AB149" s="75"/>
      <c r="AC149" s="75"/>
      <c r="AD149" s="75"/>
      <c r="AE149" s="75"/>
      <c r="AF149" s="75"/>
      <c r="AG149" s="75"/>
      <c r="AH149" s="75"/>
      <c r="AI149" s="75"/>
      <c r="AJ149" s="81"/>
      <c r="AK149" s="75"/>
      <c r="AL149" s="75"/>
    </row>
    <row r="150" spans="1:38" ht="15.75" hidden="1" thickBot="1" x14ac:dyDescent="0.3">
      <c r="A150" s="75"/>
      <c r="B150" s="75"/>
      <c r="C150" s="35">
        <f>INDEX(Données!$F$2:$L$54,MATCH(F150,Données!$F$2:$F$54,0),2)</f>
        <v>43990</v>
      </c>
      <c r="D150" s="29" t="str">
        <f t="shared" si="4"/>
        <v>#1</v>
      </c>
      <c r="E150" s="7">
        <f>Données!K25</f>
        <v>43994</v>
      </c>
      <c r="F150" s="6" t="str">
        <f>INDEX(Données!$F$2:$L$54,MATCH('#1'!E150,Données!$G$2:$G$54,1),1)</f>
        <v>24</v>
      </c>
      <c r="G150" s="18" t="str">
        <f t="shared" si="5"/>
        <v>PS-1</v>
      </c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1"/>
      <c r="W150" s="75"/>
      <c r="X150" s="75"/>
      <c r="Y150" s="75"/>
      <c r="Z150" s="96">
        <f>SUM(Tableau13[[#This Row],[A-1]:[G-5]])</f>
        <v>0</v>
      </c>
      <c r="AA150" s="96" t="str">
        <f>IF(AND(Z150&gt;0,Tableau13[[#This Row],[CDS]]=""),"Oui","Non")</f>
        <v>Non</v>
      </c>
      <c r="AB150" s="75"/>
      <c r="AC150" s="75"/>
      <c r="AD150" s="75"/>
      <c r="AE150" s="75"/>
      <c r="AF150" s="75"/>
      <c r="AG150" s="75"/>
      <c r="AH150" s="75"/>
      <c r="AI150" s="75"/>
      <c r="AJ150" s="81"/>
      <c r="AK150" s="75"/>
      <c r="AL150" s="75"/>
    </row>
    <row r="151" spans="1:38" ht="15.75" hidden="1" thickBot="1" x14ac:dyDescent="0.3">
      <c r="A151" s="75"/>
      <c r="B151" s="75"/>
      <c r="C151" s="35">
        <f>INDEX(Données!$F$2:$L$54,MATCH(F151,Données!$F$2:$F$54,0),2)</f>
        <v>43990</v>
      </c>
      <c r="D151" s="29" t="str">
        <f t="shared" si="4"/>
        <v>#1</v>
      </c>
      <c r="E151" s="7">
        <f>Données!L25</f>
        <v>43995</v>
      </c>
      <c r="F151" s="6" t="str">
        <f>INDEX(Données!$F$2:$L$54,MATCH('#1'!E151,Données!$G$2:$G$54,1),1)</f>
        <v>24</v>
      </c>
      <c r="G151" s="18" t="str">
        <f t="shared" si="5"/>
        <v>PS-1</v>
      </c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1"/>
      <c r="W151" s="75"/>
      <c r="X151" s="75"/>
      <c r="Y151" s="75"/>
      <c r="Z151" s="96">
        <f>SUM(Tableau13[[#This Row],[A-1]:[G-5]])</f>
        <v>0</v>
      </c>
      <c r="AA151" s="96" t="str">
        <f>IF(AND(Z151&gt;0,Tableau13[[#This Row],[CDS]]=""),"Oui","Non")</f>
        <v>Non</v>
      </c>
      <c r="AB151" s="75"/>
      <c r="AC151" s="75"/>
      <c r="AD151" s="75"/>
      <c r="AE151" s="75"/>
      <c r="AF151" s="75"/>
      <c r="AG151" s="75"/>
      <c r="AH151" s="75"/>
      <c r="AI151" s="75"/>
      <c r="AJ151" s="81"/>
      <c r="AK151" s="75"/>
      <c r="AL151" s="75"/>
    </row>
    <row r="152" spans="1:38" ht="15.75" hidden="1" thickBot="1" x14ac:dyDescent="0.3">
      <c r="A152" s="75"/>
      <c r="B152" s="75"/>
      <c r="C152" s="35">
        <f>INDEX(Données!$F$2:$L$54,MATCH(F152,Données!$F$2:$F$54,0),2)</f>
        <v>43997</v>
      </c>
      <c r="D152" s="29" t="str">
        <f t="shared" si="4"/>
        <v>#1</v>
      </c>
      <c r="E152" s="7">
        <f>Données!G26</f>
        <v>43997</v>
      </c>
      <c r="F152" s="6" t="str">
        <f>INDEX(Données!$F$2:$L$54,MATCH('#1'!E152,Données!$G$2:$G$54,1),1)</f>
        <v>25</v>
      </c>
      <c r="G152" s="18" t="str">
        <f t="shared" si="5"/>
        <v>PS-1</v>
      </c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1"/>
      <c r="W152" s="75"/>
      <c r="X152" s="75"/>
      <c r="Y152" s="75"/>
      <c r="Z152" s="96">
        <f>SUM(Tableau13[[#This Row],[A-1]:[G-5]])</f>
        <v>0</v>
      </c>
      <c r="AA152" s="96" t="str">
        <f>IF(AND(Z152&gt;0,Tableau13[[#This Row],[CDS]]=""),"Oui","Non")</f>
        <v>Non</v>
      </c>
      <c r="AB152" s="75"/>
      <c r="AC152" s="75"/>
      <c r="AD152" s="75"/>
      <c r="AE152" s="75"/>
      <c r="AF152" s="75"/>
      <c r="AG152" s="75"/>
      <c r="AH152" s="75"/>
      <c r="AI152" s="75"/>
      <c r="AJ152" s="81"/>
      <c r="AK152" s="75"/>
      <c r="AL152" s="75"/>
    </row>
    <row r="153" spans="1:38" ht="15.75" hidden="1" thickBot="1" x14ac:dyDescent="0.3">
      <c r="A153" s="75"/>
      <c r="B153" s="75"/>
      <c r="C153" s="35">
        <f>INDEX(Données!$F$2:$L$54,MATCH(F153,Données!$F$2:$F$54,0),2)</f>
        <v>43997</v>
      </c>
      <c r="D153" s="29" t="str">
        <f t="shared" si="4"/>
        <v>#1</v>
      </c>
      <c r="E153" s="7">
        <f>Données!H26</f>
        <v>43998</v>
      </c>
      <c r="F153" s="6" t="str">
        <f>INDEX(Données!$F$2:$L$54,MATCH('#1'!E153,Données!$G$2:$G$54,1),1)</f>
        <v>25</v>
      </c>
      <c r="G153" s="18" t="str">
        <f t="shared" si="5"/>
        <v>PS-1</v>
      </c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1"/>
      <c r="W153" s="75"/>
      <c r="X153" s="75"/>
      <c r="Y153" s="75"/>
      <c r="Z153" s="96">
        <f>SUM(Tableau13[[#This Row],[A-1]:[G-5]])</f>
        <v>0</v>
      </c>
      <c r="AA153" s="96" t="str">
        <f>IF(AND(Z153&gt;0,Tableau13[[#This Row],[CDS]]=""),"Oui","Non")</f>
        <v>Non</v>
      </c>
      <c r="AB153" s="75"/>
      <c r="AC153" s="75"/>
      <c r="AD153" s="75"/>
      <c r="AE153" s="75"/>
      <c r="AF153" s="75"/>
      <c r="AG153" s="75"/>
      <c r="AH153" s="75"/>
      <c r="AI153" s="75"/>
      <c r="AJ153" s="81"/>
      <c r="AK153" s="75"/>
      <c r="AL153" s="75"/>
    </row>
    <row r="154" spans="1:38" ht="15.75" hidden="1" thickBot="1" x14ac:dyDescent="0.3">
      <c r="A154" s="75"/>
      <c r="B154" s="75"/>
      <c r="C154" s="35">
        <f>INDEX(Données!$F$2:$L$54,MATCH(F154,Données!$F$2:$F$54,0),2)</f>
        <v>43997</v>
      </c>
      <c r="D154" s="29" t="str">
        <f t="shared" si="4"/>
        <v>#1</v>
      </c>
      <c r="E154" s="7">
        <f>Données!I26</f>
        <v>43999</v>
      </c>
      <c r="F154" s="6" t="str">
        <f>INDEX(Données!$F$2:$L$54,MATCH('#1'!E154,Données!$G$2:$G$54,1),1)</f>
        <v>25</v>
      </c>
      <c r="G154" s="18" t="str">
        <f t="shared" si="5"/>
        <v>PS-1</v>
      </c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1"/>
      <c r="W154" s="75"/>
      <c r="X154" s="75"/>
      <c r="Y154" s="75"/>
      <c r="Z154" s="96">
        <f>SUM(Tableau13[[#This Row],[A-1]:[G-5]])</f>
        <v>0</v>
      </c>
      <c r="AA154" s="96" t="str">
        <f>IF(AND(Z154&gt;0,Tableau13[[#This Row],[CDS]]=""),"Oui","Non")</f>
        <v>Non</v>
      </c>
      <c r="AB154" s="75"/>
      <c r="AC154" s="75"/>
      <c r="AD154" s="75"/>
      <c r="AE154" s="75"/>
      <c r="AF154" s="75"/>
      <c r="AG154" s="75"/>
      <c r="AH154" s="75"/>
      <c r="AI154" s="75"/>
      <c r="AJ154" s="81"/>
      <c r="AK154" s="75"/>
      <c r="AL154" s="75"/>
    </row>
    <row r="155" spans="1:38" ht="15.75" hidden="1" thickBot="1" x14ac:dyDescent="0.3">
      <c r="A155" s="75"/>
      <c r="B155" s="75"/>
      <c r="C155" s="35">
        <f>INDEX(Données!$F$2:$L$54,MATCH(F155,Données!$F$2:$F$54,0),2)</f>
        <v>43997</v>
      </c>
      <c r="D155" s="29" t="str">
        <f t="shared" si="4"/>
        <v>#1</v>
      </c>
      <c r="E155" s="7">
        <f>Données!J26</f>
        <v>44000</v>
      </c>
      <c r="F155" s="6" t="str">
        <f>INDEX(Données!$F$2:$L$54,MATCH('#1'!E155,Données!$G$2:$G$54,1),1)</f>
        <v>25</v>
      </c>
      <c r="G155" s="18" t="str">
        <f t="shared" si="5"/>
        <v>PS-1</v>
      </c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1"/>
      <c r="W155" s="75"/>
      <c r="X155" s="75"/>
      <c r="Y155" s="75"/>
      <c r="Z155" s="96">
        <f>SUM(Tableau13[[#This Row],[A-1]:[G-5]])</f>
        <v>0</v>
      </c>
      <c r="AA155" s="96" t="str">
        <f>IF(AND(Z155&gt;0,Tableau13[[#This Row],[CDS]]=""),"Oui","Non")</f>
        <v>Non</v>
      </c>
      <c r="AB155" s="75"/>
      <c r="AC155" s="75"/>
      <c r="AD155" s="75"/>
      <c r="AE155" s="75"/>
      <c r="AF155" s="75"/>
      <c r="AG155" s="75"/>
      <c r="AH155" s="75"/>
      <c r="AI155" s="75"/>
      <c r="AJ155" s="81"/>
      <c r="AK155" s="75"/>
      <c r="AL155" s="75"/>
    </row>
    <row r="156" spans="1:38" ht="15.75" hidden="1" thickBot="1" x14ac:dyDescent="0.3">
      <c r="A156" s="75"/>
      <c r="B156" s="75"/>
      <c r="C156" s="35">
        <f>INDEX(Données!$F$2:$L$54,MATCH(F156,Données!$F$2:$F$54,0),2)</f>
        <v>43997</v>
      </c>
      <c r="D156" s="29" t="str">
        <f t="shared" si="4"/>
        <v>#1</v>
      </c>
      <c r="E156" s="7">
        <f>Données!K26</f>
        <v>44001</v>
      </c>
      <c r="F156" s="6" t="str">
        <f>INDEX(Données!$F$2:$L$54,MATCH('#1'!E156,Données!$G$2:$G$54,1),1)</f>
        <v>25</v>
      </c>
      <c r="G156" s="18" t="str">
        <f t="shared" si="5"/>
        <v>PS-1</v>
      </c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1"/>
      <c r="W156" s="75"/>
      <c r="X156" s="75"/>
      <c r="Y156" s="75"/>
      <c r="Z156" s="96">
        <f>SUM(Tableau13[[#This Row],[A-1]:[G-5]])</f>
        <v>0</v>
      </c>
      <c r="AA156" s="96" t="str">
        <f>IF(AND(Z156&gt;0,Tableau13[[#This Row],[CDS]]=""),"Oui","Non")</f>
        <v>Non</v>
      </c>
      <c r="AB156" s="75"/>
      <c r="AC156" s="75"/>
      <c r="AD156" s="75"/>
      <c r="AE156" s="75"/>
      <c r="AF156" s="75"/>
      <c r="AG156" s="75"/>
      <c r="AH156" s="75"/>
      <c r="AI156" s="75"/>
      <c r="AJ156" s="81"/>
      <c r="AK156" s="75"/>
      <c r="AL156" s="75"/>
    </row>
    <row r="157" spans="1:38" ht="15.75" hidden="1" thickBot="1" x14ac:dyDescent="0.3">
      <c r="A157" s="75"/>
      <c r="B157" s="75"/>
      <c r="C157" s="35">
        <f>INDEX(Données!$F$2:$L$54,MATCH(F157,Données!$F$2:$F$54,0),2)</f>
        <v>43997</v>
      </c>
      <c r="D157" s="29" t="str">
        <f t="shared" si="4"/>
        <v>#1</v>
      </c>
      <c r="E157" s="7">
        <f>Données!L26</f>
        <v>44002</v>
      </c>
      <c r="F157" s="6" t="str">
        <f>INDEX(Données!$F$2:$L$54,MATCH('#1'!E157,Données!$G$2:$G$54,1),1)</f>
        <v>25</v>
      </c>
      <c r="G157" s="18" t="str">
        <f t="shared" si="5"/>
        <v>PS-1</v>
      </c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1"/>
      <c r="W157" s="75"/>
      <c r="X157" s="75"/>
      <c r="Y157" s="75"/>
      <c r="Z157" s="96">
        <f>SUM(Tableau13[[#This Row],[A-1]:[G-5]])</f>
        <v>0</v>
      </c>
      <c r="AA157" s="96" t="str">
        <f>IF(AND(Z157&gt;0,Tableau13[[#This Row],[CDS]]=""),"Oui","Non")</f>
        <v>Non</v>
      </c>
      <c r="AB157" s="75"/>
      <c r="AC157" s="75"/>
      <c r="AD157" s="75"/>
      <c r="AE157" s="75"/>
      <c r="AF157" s="75"/>
      <c r="AG157" s="75"/>
      <c r="AH157" s="75"/>
      <c r="AI157" s="75"/>
      <c r="AJ157" s="81"/>
      <c r="AK157" s="75"/>
      <c r="AL157" s="75"/>
    </row>
    <row r="158" spans="1:38" ht="15.75" hidden="1" thickBot="1" x14ac:dyDescent="0.3">
      <c r="A158" s="75"/>
      <c r="B158" s="75"/>
      <c r="C158" s="35">
        <f>INDEX(Données!$F$2:$L$54,MATCH(F158,Données!$F$2:$F$54,0),2)</f>
        <v>44004</v>
      </c>
      <c r="D158" s="29" t="str">
        <f t="shared" si="4"/>
        <v>#1</v>
      </c>
      <c r="E158" s="7">
        <f>Données!G27</f>
        <v>44004</v>
      </c>
      <c r="F158" s="6" t="str">
        <f>INDEX(Données!$F$2:$L$54,MATCH('#1'!E158,Données!$G$2:$G$54,1),1)</f>
        <v>26</v>
      </c>
      <c r="G158" s="18" t="str">
        <f t="shared" si="5"/>
        <v>PS-1</v>
      </c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1"/>
      <c r="W158" s="75"/>
      <c r="X158" s="75"/>
      <c r="Y158" s="75"/>
      <c r="Z158" s="96">
        <f>SUM(Tableau13[[#This Row],[A-1]:[G-5]])</f>
        <v>0</v>
      </c>
      <c r="AA158" s="96" t="str">
        <f>IF(AND(Z158&gt;0,Tableau13[[#This Row],[CDS]]=""),"Oui","Non")</f>
        <v>Non</v>
      </c>
      <c r="AB158" s="75"/>
      <c r="AC158" s="75"/>
      <c r="AD158" s="75"/>
      <c r="AE158" s="75"/>
      <c r="AF158" s="75"/>
      <c r="AG158" s="75"/>
      <c r="AH158" s="75"/>
      <c r="AI158" s="75"/>
      <c r="AJ158" s="81"/>
      <c r="AK158" s="75"/>
      <c r="AL158" s="75"/>
    </row>
    <row r="159" spans="1:38" ht="15.75" hidden="1" thickBot="1" x14ac:dyDescent="0.3">
      <c r="A159" s="75"/>
      <c r="B159" s="75"/>
      <c r="C159" s="35">
        <f>INDEX(Données!$F$2:$L$54,MATCH(F159,Données!$F$2:$F$54,0),2)</f>
        <v>44004</v>
      </c>
      <c r="D159" s="29" t="str">
        <f t="shared" si="4"/>
        <v>#1</v>
      </c>
      <c r="E159" s="7">
        <f>Données!H27</f>
        <v>44005</v>
      </c>
      <c r="F159" s="6" t="str">
        <f>INDEX(Données!$F$2:$L$54,MATCH('#1'!E159,Données!$G$2:$G$54,1),1)</f>
        <v>26</v>
      </c>
      <c r="G159" s="18" t="str">
        <f t="shared" si="5"/>
        <v>PS-1</v>
      </c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1"/>
      <c r="W159" s="75"/>
      <c r="X159" s="75"/>
      <c r="Y159" s="75"/>
      <c r="Z159" s="96">
        <f>SUM(Tableau13[[#This Row],[A-1]:[G-5]])</f>
        <v>0</v>
      </c>
      <c r="AA159" s="96" t="str">
        <f>IF(AND(Z159&gt;0,Tableau13[[#This Row],[CDS]]=""),"Oui","Non")</f>
        <v>Non</v>
      </c>
      <c r="AB159" s="75"/>
      <c r="AC159" s="75"/>
      <c r="AD159" s="75"/>
      <c r="AE159" s="75"/>
      <c r="AF159" s="75"/>
      <c r="AG159" s="75"/>
      <c r="AH159" s="75"/>
      <c r="AI159" s="75"/>
      <c r="AJ159" s="81"/>
      <c r="AK159" s="75"/>
      <c r="AL159" s="75"/>
    </row>
    <row r="160" spans="1:38" ht="15.75" hidden="1" thickBot="1" x14ac:dyDescent="0.3">
      <c r="A160" s="75"/>
      <c r="B160" s="75"/>
      <c r="C160" s="35">
        <f>INDEX(Données!$F$2:$L$54,MATCH(F160,Données!$F$2:$F$54,0),2)</f>
        <v>44004</v>
      </c>
      <c r="D160" s="29" t="str">
        <f t="shared" si="4"/>
        <v>#1</v>
      </c>
      <c r="E160" s="7">
        <f>Données!I27</f>
        <v>44006</v>
      </c>
      <c r="F160" s="6" t="str">
        <f>INDEX(Données!$F$2:$L$54,MATCH('#1'!E160,Données!$G$2:$G$54,1),1)</f>
        <v>26</v>
      </c>
      <c r="G160" s="18" t="str">
        <f t="shared" si="5"/>
        <v>PS-1</v>
      </c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1"/>
      <c r="W160" s="75"/>
      <c r="X160" s="75"/>
      <c r="Y160" s="75"/>
      <c r="Z160" s="96">
        <f>SUM(Tableau13[[#This Row],[A-1]:[G-5]])</f>
        <v>0</v>
      </c>
      <c r="AA160" s="96" t="str">
        <f>IF(AND(Z160&gt;0,Tableau13[[#This Row],[CDS]]=""),"Oui","Non")</f>
        <v>Non</v>
      </c>
      <c r="AB160" s="75"/>
      <c r="AC160" s="75"/>
      <c r="AD160" s="75"/>
      <c r="AE160" s="75"/>
      <c r="AF160" s="75"/>
      <c r="AG160" s="75"/>
      <c r="AH160" s="75"/>
      <c r="AI160" s="75"/>
      <c r="AJ160" s="81"/>
      <c r="AK160" s="75"/>
      <c r="AL160" s="75"/>
    </row>
    <row r="161" spans="1:38" ht="15.75" hidden="1" thickBot="1" x14ac:dyDescent="0.3">
      <c r="A161" s="75"/>
      <c r="B161" s="75"/>
      <c r="C161" s="35">
        <f>INDEX(Données!$F$2:$L$54,MATCH(F161,Données!$F$2:$F$54,0),2)</f>
        <v>44004</v>
      </c>
      <c r="D161" s="29" t="str">
        <f t="shared" si="4"/>
        <v>#1</v>
      </c>
      <c r="E161" s="7">
        <f>Données!J27</f>
        <v>44007</v>
      </c>
      <c r="F161" s="6" t="str">
        <f>INDEX(Données!$F$2:$L$54,MATCH('#1'!E161,Données!$G$2:$G$54,1),1)</f>
        <v>26</v>
      </c>
      <c r="G161" s="18" t="str">
        <f t="shared" si="5"/>
        <v>PS-1</v>
      </c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1"/>
      <c r="W161" s="75"/>
      <c r="X161" s="75"/>
      <c r="Y161" s="75"/>
      <c r="Z161" s="96">
        <f>SUM(Tableau13[[#This Row],[A-1]:[G-5]])</f>
        <v>0</v>
      </c>
      <c r="AA161" s="96" t="str">
        <f>IF(AND(Z161&gt;0,Tableau13[[#This Row],[CDS]]=""),"Oui","Non")</f>
        <v>Non</v>
      </c>
      <c r="AB161" s="75"/>
      <c r="AC161" s="75"/>
      <c r="AD161" s="75"/>
      <c r="AE161" s="75"/>
      <c r="AF161" s="75"/>
      <c r="AG161" s="75"/>
      <c r="AH161" s="75"/>
      <c r="AI161" s="75"/>
      <c r="AJ161" s="81"/>
      <c r="AK161" s="75"/>
      <c r="AL161" s="75"/>
    </row>
    <row r="162" spans="1:38" ht="15.75" hidden="1" thickBot="1" x14ac:dyDescent="0.3">
      <c r="A162" s="75"/>
      <c r="B162" s="75"/>
      <c r="C162" s="35">
        <f>INDEX(Données!$F$2:$L$54,MATCH(F162,Données!$F$2:$F$54,0),2)</f>
        <v>44004</v>
      </c>
      <c r="D162" s="29" t="str">
        <f t="shared" si="4"/>
        <v>#1</v>
      </c>
      <c r="E162" s="7">
        <f>Données!K27</f>
        <v>44008</v>
      </c>
      <c r="F162" s="6" t="str">
        <f>INDEX(Données!$F$2:$L$54,MATCH('#1'!E162,Données!$G$2:$G$54,1),1)</f>
        <v>26</v>
      </c>
      <c r="G162" s="18" t="str">
        <f t="shared" si="5"/>
        <v>PS-1</v>
      </c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1"/>
      <c r="W162" s="75"/>
      <c r="X162" s="75"/>
      <c r="Y162" s="75"/>
      <c r="Z162" s="96">
        <f>SUM(Tableau13[[#This Row],[A-1]:[G-5]])</f>
        <v>0</v>
      </c>
      <c r="AA162" s="96" t="str">
        <f>IF(AND(Z162&gt;0,Tableau13[[#This Row],[CDS]]=""),"Oui","Non")</f>
        <v>Non</v>
      </c>
      <c r="AB162" s="75"/>
      <c r="AC162" s="75"/>
      <c r="AD162" s="75"/>
      <c r="AE162" s="75"/>
      <c r="AF162" s="75"/>
      <c r="AG162" s="75"/>
      <c r="AH162" s="75"/>
      <c r="AI162" s="75"/>
      <c r="AJ162" s="81"/>
      <c r="AK162" s="75"/>
      <c r="AL162" s="75"/>
    </row>
    <row r="163" spans="1:38" ht="15.75" hidden="1" thickBot="1" x14ac:dyDescent="0.3">
      <c r="A163" s="75"/>
      <c r="B163" s="75"/>
      <c r="C163" s="35">
        <f>INDEX(Données!$F$2:$L$54,MATCH(F163,Données!$F$2:$F$54,0),2)</f>
        <v>44004</v>
      </c>
      <c r="D163" s="29" t="str">
        <f t="shared" si="4"/>
        <v>#1</v>
      </c>
      <c r="E163" s="7">
        <f>Données!L27</f>
        <v>44009</v>
      </c>
      <c r="F163" s="6" t="str">
        <f>INDEX(Données!$F$2:$L$54,MATCH('#1'!E163,Données!$G$2:$G$54,1),1)</f>
        <v>26</v>
      </c>
      <c r="G163" s="18" t="str">
        <f t="shared" si="5"/>
        <v>PS-1</v>
      </c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1"/>
      <c r="W163" s="75"/>
      <c r="X163" s="75"/>
      <c r="Y163" s="75"/>
      <c r="Z163" s="96">
        <f>SUM(Tableau13[[#This Row],[A-1]:[G-5]])</f>
        <v>0</v>
      </c>
      <c r="AA163" s="96" t="str">
        <f>IF(AND(Z163&gt;0,Tableau13[[#This Row],[CDS]]=""),"Oui","Non")</f>
        <v>Non</v>
      </c>
      <c r="AB163" s="75"/>
      <c r="AC163" s="75"/>
      <c r="AD163" s="75"/>
      <c r="AE163" s="75"/>
      <c r="AF163" s="75"/>
      <c r="AG163" s="75"/>
      <c r="AH163" s="75"/>
      <c r="AI163" s="75"/>
      <c r="AJ163" s="81"/>
      <c r="AK163" s="75"/>
      <c r="AL163" s="75"/>
    </row>
    <row r="164" spans="1:38" ht="15.75" hidden="1" thickBot="1" x14ac:dyDescent="0.3">
      <c r="A164" s="75"/>
      <c r="B164" s="75"/>
      <c r="C164" s="35">
        <f>INDEX(Données!$F$2:$L$54,MATCH(F164,Données!$F$2:$F$54,0),2)</f>
        <v>44011</v>
      </c>
      <c r="D164" s="29" t="str">
        <f t="shared" si="4"/>
        <v>#1</v>
      </c>
      <c r="E164" s="7">
        <f>Données!G28</f>
        <v>44011</v>
      </c>
      <c r="F164" s="6" t="str">
        <f>INDEX(Données!$F$2:$L$54,MATCH('#1'!E164,Données!$G$2:$G$54,1),1)</f>
        <v>27</v>
      </c>
      <c r="G164" s="18" t="str">
        <f t="shared" si="5"/>
        <v>PS-1</v>
      </c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1"/>
      <c r="W164" s="75"/>
      <c r="X164" s="75"/>
      <c r="Y164" s="75"/>
      <c r="Z164" s="96">
        <f>SUM(Tableau13[[#This Row],[A-1]:[G-5]])</f>
        <v>0</v>
      </c>
      <c r="AA164" s="96" t="str">
        <f>IF(AND(Z164&gt;0,Tableau13[[#This Row],[CDS]]=""),"Oui","Non")</f>
        <v>Non</v>
      </c>
      <c r="AB164" s="75"/>
      <c r="AC164" s="75"/>
      <c r="AD164" s="75"/>
      <c r="AE164" s="75"/>
      <c r="AF164" s="75"/>
      <c r="AG164" s="75"/>
      <c r="AH164" s="75"/>
      <c r="AI164" s="75"/>
      <c r="AJ164" s="81"/>
      <c r="AK164" s="75"/>
      <c r="AL164" s="75"/>
    </row>
    <row r="165" spans="1:38" ht="15.75" hidden="1" thickBot="1" x14ac:dyDescent="0.3">
      <c r="A165" s="75"/>
      <c r="B165" s="75"/>
      <c r="C165" s="35">
        <f>INDEX(Données!$F$2:$L$54,MATCH(F165,Données!$F$2:$F$54,0),2)</f>
        <v>44011</v>
      </c>
      <c r="D165" s="29" t="str">
        <f t="shared" si="4"/>
        <v>#1</v>
      </c>
      <c r="E165" s="7">
        <f>Données!H28</f>
        <v>44012</v>
      </c>
      <c r="F165" s="6" t="str">
        <f>INDEX(Données!$F$2:$L$54,MATCH('#1'!E165,Données!$G$2:$G$54,1),1)</f>
        <v>27</v>
      </c>
      <c r="G165" s="18" t="str">
        <f t="shared" si="5"/>
        <v>PS-1</v>
      </c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1"/>
      <c r="W165" s="75"/>
      <c r="X165" s="75"/>
      <c r="Y165" s="75"/>
      <c r="Z165" s="96">
        <f>SUM(Tableau13[[#This Row],[A-1]:[G-5]])</f>
        <v>0</v>
      </c>
      <c r="AA165" s="96" t="str">
        <f>IF(AND(Z165&gt;0,Tableau13[[#This Row],[CDS]]=""),"Oui","Non")</f>
        <v>Non</v>
      </c>
      <c r="AB165" s="75"/>
      <c r="AC165" s="75"/>
      <c r="AD165" s="75"/>
      <c r="AE165" s="75"/>
      <c r="AF165" s="75"/>
      <c r="AG165" s="75"/>
      <c r="AH165" s="75"/>
      <c r="AI165" s="75"/>
      <c r="AJ165" s="81"/>
      <c r="AK165" s="75"/>
      <c r="AL165" s="75"/>
    </row>
    <row r="166" spans="1:38" ht="15.75" hidden="1" thickBot="1" x14ac:dyDescent="0.3">
      <c r="A166" s="75"/>
      <c r="B166" s="75"/>
      <c r="C166" s="35">
        <f>INDEX(Données!$F$2:$L$54,MATCH(F166,Données!$F$2:$F$54,0),2)</f>
        <v>44011</v>
      </c>
      <c r="D166" s="29" t="str">
        <f t="shared" si="4"/>
        <v>#1</v>
      </c>
      <c r="E166" s="7">
        <f>Données!I28</f>
        <v>44013</v>
      </c>
      <c r="F166" s="6" t="str">
        <f>INDEX(Données!$F$2:$L$54,MATCH('#1'!E166,Données!$G$2:$G$54,1),1)</f>
        <v>27</v>
      </c>
      <c r="G166" s="18" t="str">
        <f t="shared" si="5"/>
        <v>PS-1</v>
      </c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1"/>
      <c r="W166" s="75"/>
      <c r="X166" s="75"/>
      <c r="Y166" s="75"/>
      <c r="Z166" s="96">
        <f>SUM(Tableau13[[#This Row],[A-1]:[G-5]])</f>
        <v>0</v>
      </c>
      <c r="AA166" s="96" t="str">
        <f>IF(AND(Z166&gt;0,Tableau13[[#This Row],[CDS]]=""),"Oui","Non")</f>
        <v>Non</v>
      </c>
      <c r="AB166" s="75"/>
      <c r="AC166" s="75"/>
      <c r="AD166" s="75"/>
      <c r="AE166" s="75"/>
      <c r="AF166" s="75"/>
      <c r="AG166" s="75"/>
      <c r="AH166" s="75"/>
      <c r="AI166" s="75"/>
      <c r="AJ166" s="81"/>
      <c r="AK166" s="75"/>
      <c r="AL166" s="75"/>
    </row>
    <row r="167" spans="1:38" ht="15.75" hidden="1" thickBot="1" x14ac:dyDescent="0.3">
      <c r="A167" s="75"/>
      <c r="B167" s="75"/>
      <c r="C167" s="35">
        <f>INDEX(Données!$F$2:$L$54,MATCH(F167,Données!$F$2:$F$54,0),2)</f>
        <v>44011</v>
      </c>
      <c r="D167" s="29" t="str">
        <f t="shared" si="4"/>
        <v>#1</v>
      </c>
      <c r="E167" s="7">
        <f>Données!J28</f>
        <v>44014</v>
      </c>
      <c r="F167" s="6" t="str">
        <f>INDEX(Données!$F$2:$L$54,MATCH('#1'!E167,Données!$G$2:$G$54,1),1)</f>
        <v>27</v>
      </c>
      <c r="G167" s="18" t="str">
        <f t="shared" si="5"/>
        <v>PS-1</v>
      </c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1"/>
      <c r="W167" s="75"/>
      <c r="X167" s="75"/>
      <c r="Y167" s="75"/>
      <c r="Z167" s="96">
        <f>SUM(Tableau13[[#This Row],[A-1]:[G-5]])</f>
        <v>0</v>
      </c>
      <c r="AA167" s="96" t="str">
        <f>IF(AND(Z167&gt;0,Tableau13[[#This Row],[CDS]]=""),"Oui","Non")</f>
        <v>Non</v>
      </c>
      <c r="AB167" s="75"/>
      <c r="AC167" s="75"/>
      <c r="AD167" s="75"/>
      <c r="AE167" s="75"/>
      <c r="AF167" s="75"/>
      <c r="AG167" s="75"/>
      <c r="AH167" s="75"/>
      <c r="AI167" s="75"/>
      <c r="AJ167" s="81"/>
      <c r="AK167" s="75"/>
      <c r="AL167" s="75"/>
    </row>
    <row r="168" spans="1:38" ht="15.75" hidden="1" thickBot="1" x14ac:dyDescent="0.3">
      <c r="A168" s="75"/>
      <c r="B168" s="75"/>
      <c r="C168" s="35">
        <f>INDEX(Données!$F$2:$L$54,MATCH(F168,Données!$F$2:$F$54,0),2)</f>
        <v>44011</v>
      </c>
      <c r="D168" s="29" t="str">
        <f t="shared" si="4"/>
        <v>#1</v>
      </c>
      <c r="E168" s="7">
        <f>Données!K28</f>
        <v>44015</v>
      </c>
      <c r="F168" s="6" t="str">
        <f>INDEX(Données!$F$2:$L$54,MATCH('#1'!E168,Données!$G$2:$G$54,1),1)</f>
        <v>27</v>
      </c>
      <c r="G168" s="18" t="str">
        <f t="shared" si="5"/>
        <v>PS-1</v>
      </c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1"/>
      <c r="W168" s="75"/>
      <c r="X168" s="75"/>
      <c r="Y168" s="75"/>
      <c r="Z168" s="96">
        <f>SUM(Tableau13[[#This Row],[A-1]:[G-5]])</f>
        <v>0</v>
      </c>
      <c r="AA168" s="96" t="str">
        <f>IF(AND(Z168&gt;0,Tableau13[[#This Row],[CDS]]=""),"Oui","Non")</f>
        <v>Non</v>
      </c>
      <c r="AB168" s="75"/>
      <c r="AC168" s="75"/>
      <c r="AD168" s="75"/>
      <c r="AE168" s="75"/>
      <c r="AF168" s="75"/>
      <c r="AG168" s="75"/>
      <c r="AH168" s="75"/>
      <c r="AI168" s="75"/>
      <c r="AJ168" s="81"/>
      <c r="AK168" s="75"/>
      <c r="AL168" s="75"/>
    </row>
    <row r="169" spans="1:38" ht="15.75" hidden="1" thickBot="1" x14ac:dyDescent="0.3">
      <c r="A169" s="75"/>
      <c r="B169" s="75"/>
      <c r="C169" s="35">
        <f>INDEX(Données!$F$2:$L$54,MATCH(F169,Données!$F$2:$F$54,0),2)</f>
        <v>44011</v>
      </c>
      <c r="D169" s="29" t="str">
        <f t="shared" si="4"/>
        <v>#1</v>
      </c>
      <c r="E169" s="7">
        <f>Données!L28</f>
        <v>44016</v>
      </c>
      <c r="F169" s="6" t="str">
        <f>INDEX(Données!$F$2:$L$54,MATCH('#1'!E169,Données!$G$2:$G$54,1),1)</f>
        <v>27</v>
      </c>
      <c r="G169" s="18" t="str">
        <f t="shared" si="5"/>
        <v>PS-1</v>
      </c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1"/>
      <c r="W169" s="75"/>
      <c r="X169" s="75"/>
      <c r="Y169" s="75"/>
      <c r="Z169" s="96">
        <f>SUM(Tableau13[[#This Row],[A-1]:[G-5]])</f>
        <v>0</v>
      </c>
      <c r="AA169" s="96" t="str">
        <f>IF(AND(Z169&gt;0,Tableau13[[#This Row],[CDS]]=""),"Oui","Non")</f>
        <v>Non</v>
      </c>
      <c r="AB169" s="75"/>
      <c r="AC169" s="75"/>
      <c r="AD169" s="75"/>
      <c r="AE169" s="75"/>
      <c r="AF169" s="75"/>
      <c r="AG169" s="75"/>
      <c r="AH169" s="75"/>
      <c r="AI169" s="75"/>
      <c r="AJ169" s="81"/>
      <c r="AK169" s="75"/>
      <c r="AL169" s="75"/>
    </row>
    <row r="170" spans="1:38" ht="15.75" hidden="1" thickBot="1" x14ac:dyDescent="0.3">
      <c r="A170" s="75"/>
      <c r="B170" s="75"/>
      <c r="C170" s="35">
        <f>INDEX(Données!$F$2:$L$54,MATCH(F170,Données!$F$2:$F$54,0),2)</f>
        <v>44018</v>
      </c>
      <c r="D170" s="29" t="str">
        <f t="shared" si="4"/>
        <v>#1</v>
      </c>
      <c r="E170" s="7">
        <f>Données!G29</f>
        <v>44018</v>
      </c>
      <c r="F170" s="6" t="str">
        <f>INDEX(Données!$F$2:$L$54,MATCH('#1'!E170,Données!$G$2:$G$54,1),1)</f>
        <v>28</v>
      </c>
      <c r="G170" s="18" t="str">
        <f t="shared" si="5"/>
        <v>PS-1</v>
      </c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1"/>
      <c r="W170" s="75"/>
      <c r="X170" s="75"/>
      <c r="Y170" s="75"/>
      <c r="Z170" s="96">
        <f>SUM(Tableau13[[#This Row],[A-1]:[G-5]])</f>
        <v>0</v>
      </c>
      <c r="AA170" s="96" t="str">
        <f>IF(AND(Z170&gt;0,Tableau13[[#This Row],[CDS]]=""),"Oui","Non")</f>
        <v>Non</v>
      </c>
      <c r="AB170" s="75"/>
      <c r="AC170" s="75"/>
      <c r="AD170" s="75"/>
      <c r="AE170" s="75"/>
      <c r="AF170" s="75"/>
      <c r="AG170" s="75"/>
      <c r="AH170" s="75"/>
      <c r="AI170" s="75"/>
      <c r="AJ170" s="81"/>
      <c r="AK170" s="75"/>
      <c r="AL170" s="75"/>
    </row>
    <row r="171" spans="1:38" ht="15.75" hidden="1" thickBot="1" x14ac:dyDescent="0.3">
      <c r="A171" s="75"/>
      <c r="B171" s="75"/>
      <c r="C171" s="35">
        <f>INDEX(Données!$F$2:$L$54,MATCH(F171,Données!$F$2:$F$54,0),2)</f>
        <v>44018</v>
      </c>
      <c r="D171" s="29" t="str">
        <f t="shared" si="4"/>
        <v>#1</v>
      </c>
      <c r="E171" s="7">
        <f>Données!H29</f>
        <v>44019</v>
      </c>
      <c r="F171" s="6" t="str">
        <f>INDEX(Données!$F$2:$L$54,MATCH('#1'!E171,Données!$G$2:$G$54,1),1)</f>
        <v>28</v>
      </c>
      <c r="G171" s="18" t="str">
        <f t="shared" si="5"/>
        <v>PS-1</v>
      </c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1"/>
      <c r="W171" s="75"/>
      <c r="X171" s="75"/>
      <c r="Y171" s="75"/>
      <c r="Z171" s="96">
        <f>SUM(Tableau13[[#This Row],[A-1]:[G-5]])</f>
        <v>0</v>
      </c>
      <c r="AA171" s="96" t="str">
        <f>IF(AND(Z171&gt;0,Tableau13[[#This Row],[CDS]]=""),"Oui","Non")</f>
        <v>Non</v>
      </c>
      <c r="AB171" s="75"/>
      <c r="AC171" s="75"/>
      <c r="AD171" s="75"/>
      <c r="AE171" s="75"/>
      <c r="AF171" s="75"/>
      <c r="AG171" s="75"/>
      <c r="AH171" s="75"/>
      <c r="AI171" s="75"/>
      <c r="AJ171" s="81"/>
      <c r="AK171" s="75"/>
      <c r="AL171" s="75"/>
    </row>
    <row r="172" spans="1:38" ht="15.75" hidden="1" thickBot="1" x14ac:dyDescent="0.3">
      <c r="A172" s="75"/>
      <c r="B172" s="75"/>
      <c r="C172" s="35">
        <f>INDEX(Données!$F$2:$L$54,MATCH(F172,Données!$F$2:$F$54,0),2)</f>
        <v>44018</v>
      </c>
      <c r="D172" s="29" t="str">
        <f t="shared" si="4"/>
        <v>#1</v>
      </c>
      <c r="E172" s="7">
        <f>Données!I29</f>
        <v>44020</v>
      </c>
      <c r="F172" s="6" t="str">
        <f>INDEX(Données!$F$2:$L$54,MATCH('#1'!E172,Données!$G$2:$G$54,1),1)</f>
        <v>28</v>
      </c>
      <c r="G172" s="18" t="str">
        <f t="shared" si="5"/>
        <v>PS-1</v>
      </c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1"/>
      <c r="W172" s="75"/>
      <c r="X172" s="75"/>
      <c r="Y172" s="75"/>
      <c r="Z172" s="96">
        <f>SUM(Tableau13[[#This Row],[A-1]:[G-5]])</f>
        <v>0</v>
      </c>
      <c r="AA172" s="96" t="str">
        <f>IF(AND(Z172&gt;0,Tableau13[[#This Row],[CDS]]=""),"Oui","Non")</f>
        <v>Non</v>
      </c>
      <c r="AB172" s="75"/>
      <c r="AC172" s="75"/>
      <c r="AD172" s="75"/>
      <c r="AE172" s="75"/>
      <c r="AF172" s="75"/>
      <c r="AG172" s="75"/>
      <c r="AH172" s="75"/>
      <c r="AI172" s="75"/>
      <c r="AJ172" s="81"/>
      <c r="AK172" s="75"/>
      <c r="AL172" s="75"/>
    </row>
    <row r="173" spans="1:38" ht="15.75" hidden="1" thickBot="1" x14ac:dyDescent="0.3">
      <c r="A173" s="75"/>
      <c r="B173" s="75"/>
      <c r="C173" s="35">
        <f>INDEX(Données!$F$2:$L$54,MATCH(F173,Données!$F$2:$F$54,0),2)</f>
        <v>44018</v>
      </c>
      <c r="D173" s="29" t="str">
        <f t="shared" si="4"/>
        <v>#1</v>
      </c>
      <c r="E173" s="7">
        <f>Données!J29</f>
        <v>44021</v>
      </c>
      <c r="F173" s="6" t="str">
        <f>INDEX(Données!$F$2:$L$54,MATCH('#1'!E173,Données!$G$2:$G$54,1),1)</f>
        <v>28</v>
      </c>
      <c r="G173" s="18" t="str">
        <f t="shared" si="5"/>
        <v>PS-1</v>
      </c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1"/>
      <c r="W173" s="75"/>
      <c r="X173" s="75"/>
      <c r="Y173" s="75"/>
      <c r="Z173" s="96">
        <f>SUM(Tableau13[[#This Row],[A-1]:[G-5]])</f>
        <v>0</v>
      </c>
      <c r="AA173" s="96" t="str">
        <f>IF(AND(Z173&gt;0,Tableau13[[#This Row],[CDS]]=""),"Oui","Non")</f>
        <v>Non</v>
      </c>
      <c r="AB173" s="75"/>
      <c r="AC173" s="75"/>
      <c r="AD173" s="75"/>
      <c r="AE173" s="75"/>
      <c r="AF173" s="75"/>
      <c r="AG173" s="75"/>
      <c r="AH173" s="75"/>
      <c r="AI173" s="75"/>
      <c r="AJ173" s="81"/>
      <c r="AK173" s="75"/>
      <c r="AL173" s="75"/>
    </row>
    <row r="174" spans="1:38" ht="15.75" hidden="1" thickBot="1" x14ac:dyDescent="0.3">
      <c r="A174" s="75"/>
      <c r="B174" s="75"/>
      <c r="C174" s="35">
        <f>INDEX(Données!$F$2:$L$54,MATCH(F174,Données!$F$2:$F$54,0),2)</f>
        <v>44018</v>
      </c>
      <c r="D174" s="29" t="str">
        <f t="shared" si="4"/>
        <v>#1</v>
      </c>
      <c r="E174" s="7">
        <f>Données!K29</f>
        <v>44022</v>
      </c>
      <c r="F174" s="6" t="str">
        <f>INDEX(Données!$F$2:$L$54,MATCH('#1'!E174,Données!$G$2:$G$54,1),1)</f>
        <v>28</v>
      </c>
      <c r="G174" s="18" t="str">
        <f t="shared" si="5"/>
        <v>PS-1</v>
      </c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1"/>
      <c r="W174" s="75"/>
      <c r="X174" s="75"/>
      <c r="Y174" s="75"/>
      <c r="Z174" s="96">
        <f>SUM(Tableau13[[#This Row],[A-1]:[G-5]])</f>
        <v>0</v>
      </c>
      <c r="AA174" s="96" t="str">
        <f>IF(AND(Z174&gt;0,Tableau13[[#This Row],[CDS]]=""),"Oui","Non")</f>
        <v>Non</v>
      </c>
      <c r="AB174" s="75"/>
      <c r="AC174" s="75"/>
      <c r="AD174" s="75"/>
      <c r="AE174" s="75"/>
      <c r="AF174" s="75"/>
      <c r="AG174" s="75"/>
      <c r="AH174" s="75"/>
      <c r="AI174" s="75"/>
      <c r="AJ174" s="81"/>
      <c r="AK174" s="75"/>
      <c r="AL174" s="75"/>
    </row>
    <row r="175" spans="1:38" ht="15.75" hidden="1" thickBot="1" x14ac:dyDescent="0.3">
      <c r="A175" s="75"/>
      <c r="B175" s="75"/>
      <c r="C175" s="35">
        <f>INDEX(Données!$F$2:$L$54,MATCH(F175,Données!$F$2:$F$54,0),2)</f>
        <v>44018</v>
      </c>
      <c r="D175" s="29" t="str">
        <f t="shared" si="4"/>
        <v>#1</v>
      </c>
      <c r="E175" s="7">
        <f>Données!L29</f>
        <v>44023</v>
      </c>
      <c r="F175" s="6" t="str">
        <f>INDEX(Données!$F$2:$L$54,MATCH('#1'!E175,Données!$G$2:$G$54,1),1)</f>
        <v>28</v>
      </c>
      <c r="G175" s="18" t="str">
        <f t="shared" si="5"/>
        <v>PS-1</v>
      </c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1"/>
      <c r="W175" s="75"/>
      <c r="X175" s="75"/>
      <c r="Y175" s="75"/>
      <c r="Z175" s="96">
        <f>SUM(Tableau13[[#This Row],[A-1]:[G-5]])</f>
        <v>0</v>
      </c>
      <c r="AA175" s="96" t="str">
        <f>IF(AND(Z175&gt;0,Tableau13[[#This Row],[CDS]]=""),"Oui","Non")</f>
        <v>Non</v>
      </c>
      <c r="AB175" s="75"/>
      <c r="AC175" s="75"/>
      <c r="AD175" s="75"/>
      <c r="AE175" s="75"/>
      <c r="AF175" s="75"/>
      <c r="AG175" s="75"/>
      <c r="AH175" s="75"/>
      <c r="AI175" s="75"/>
      <c r="AJ175" s="81"/>
      <c r="AK175" s="75"/>
      <c r="AL175" s="75"/>
    </row>
    <row r="176" spans="1:38" ht="15.75" hidden="1" thickBot="1" x14ac:dyDescent="0.3">
      <c r="A176" s="75"/>
      <c r="B176" s="75"/>
      <c r="C176" s="35">
        <f>INDEX(Données!$F$2:$L$54,MATCH(F176,Données!$F$2:$F$54,0),2)</f>
        <v>44025</v>
      </c>
      <c r="D176" s="29" t="str">
        <f t="shared" si="4"/>
        <v>#1</v>
      </c>
      <c r="E176" s="7">
        <f>Données!G30</f>
        <v>44025</v>
      </c>
      <c r="F176" s="6" t="str">
        <f>INDEX(Données!$F$2:$L$54,MATCH('#1'!E176,Données!$G$2:$G$54,1),1)</f>
        <v>29</v>
      </c>
      <c r="G176" s="18" t="str">
        <f t="shared" si="5"/>
        <v>PS-1</v>
      </c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1"/>
      <c r="W176" s="75"/>
      <c r="X176" s="75"/>
      <c r="Y176" s="75"/>
      <c r="Z176" s="96">
        <f>SUM(Tableau13[[#This Row],[A-1]:[G-5]])</f>
        <v>0</v>
      </c>
      <c r="AA176" s="96" t="str">
        <f>IF(AND(Z176&gt;0,Tableau13[[#This Row],[CDS]]=""),"Oui","Non")</f>
        <v>Non</v>
      </c>
      <c r="AB176" s="75"/>
      <c r="AC176" s="75"/>
      <c r="AD176" s="75"/>
      <c r="AE176" s="75"/>
      <c r="AF176" s="75"/>
      <c r="AG176" s="75"/>
      <c r="AH176" s="75"/>
      <c r="AI176" s="75"/>
      <c r="AJ176" s="81"/>
      <c r="AK176" s="75"/>
      <c r="AL176" s="75"/>
    </row>
    <row r="177" spans="1:38" ht="15.75" hidden="1" thickBot="1" x14ac:dyDescent="0.3">
      <c r="A177" s="75"/>
      <c r="B177" s="75"/>
      <c r="C177" s="35">
        <f>INDEX(Données!$F$2:$L$54,MATCH(F177,Données!$F$2:$F$54,0),2)</f>
        <v>44025</v>
      </c>
      <c r="D177" s="29" t="str">
        <f t="shared" si="4"/>
        <v>#1</v>
      </c>
      <c r="E177" s="7">
        <f>Données!H30</f>
        <v>44026</v>
      </c>
      <c r="F177" s="6" t="str">
        <f>INDEX(Données!$F$2:$L$54,MATCH('#1'!E177,Données!$G$2:$G$54,1),1)</f>
        <v>29</v>
      </c>
      <c r="G177" s="18" t="str">
        <f t="shared" si="5"/>
        <v>PS-1</v>
      </c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1"/>
      <c r="W177" s="75"/>
      <c r="X177" s="75"/>
      <c r="Y177" s="75"/>
      <c r="Z177" s="96">
        <f>SUM(Tableau13[[#This Row],[A-1]:[G-5]])</f>
        <v>0</v>
      </c>
      <c r="AA177" s="96" t="str">
        <f>IF(AND(Z177&gt;0,Tableau13[[#This Row],[CDS]]=""),"Oui","Non")</f>
        <v>Non</v>
      </c>
      <c r="AB177" s="75"/>
      <c r="AC177" s="75"/>
      <c r="AD177" s="75"/>
      <c r="AE177" s="75"/>
      <c r="AF177" s="75"/>
      <c r="AG177" s="75"/>
      <c r="AH177" s="75"/>
      <c r="AI177" s="75"/>
      <c r="AJ177" s="81"/>
      <c r="AK177" s="75"/>
      <c r="AL177" s="75"/>
    </row>
    <row r="178" spans="1:38" ht="15.75" hidden="1" thickBot="1" x14ac:dyDescent="0.3">
      <c r="A178" s="75"/>
      <c r="B178" s="75"/>
      <c r="C178" s="35">
        <f>INDEX(Données!$F$2:$L$54,MATCH(F178,Données!$F$2:$F$54,0),2)</f>
        <v>44025</v>
      </c>
      <c r="D178" s="29" t="str">
        <f t="shared" si="4"/>
        <v>#1</v>
      </c>
      <c r="E178" s="7">
        <f>Données!I30</f>
        <v>44027</v>
      </c>
      <c r="F178" s="6" t="str">
        <f>INDEX(Données!$F$2:$L$54,MATCH('#1'!E178,Données!$G$2:$G$54,1),1)</f>
        <v>29</v>
      </c>
      <c r="G178" s="18" t="str">
        <f t="shared" si="5"/>
        <v>PS-1</v>
      </c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1"/>
      <c r="W178" s="75"/>
      <c r="X178" s="75"/>
      <c r="Y178" s="75"/>
      <c r="Z178" s="96">
        <f>SUM(Tableau13[[#This Row],[A-1]:[G-5]])</f>
        <v>0</v>
      </c>
      <c r="AA178" s="96" t="str">
        <f>IF(AND(Z178&gt;0,Tableau13[[#This Row],[CDS]]=""),"Oui","Non")</f>
        <v>Non</v>
      </c>
      <c r="AB178" s="75"/>
      <c r="AC178" s="75"/>
      <c r="AD178" s="75"/>
      <c r="AE178" s="75"/>
      <c r="AF178" s="75"/>
      <c r="AG178" s="75"/>
      <c r="AH178" s="75"/>
      <c r="AI178" s="75"/>
      <c r="AJ178" s="81"/>
      <c r="AK178" s="75"/>
      <c r="AL178" s="75"/>
    </row>
    <row r="179" spans="1:38" ht="15.75" hidden="1" thickBot="1" x14ac:dyDescent="0.3">
      <c r="A179" s="75"/>
      <c r="B179" s="75"/>
      <c r="C179" s="35">
        <f>INDEX(Données!$F$2:$L$54,MATCH(F179,Données!$F$2:$F$54,0),2)</f>
        <v>44025</v>
      </c>
      <c r="D179" s="29" t="str">
        <f t="shared" si="4"/>
        <v>#1</v>
      </c>
      <c r="E179" s="7">
        <f>Données!J30</f>
        <v>44028</v>
      </c>
      <c r="F179" s="6" t="str">
        <f>INDEX(Données!$F$2:$L$54,MATCH('#1'!E179,Données!$G$2:$G$54,1),1)</f>
        <v>29</v>
      </c>
      <c r="G179" s="18" t="str">
        <f t="shared" si="5"/>
        <v>PS-1</v>
      </c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1"/>
      <c r="W179" s="75"/>
      <c r="X179" s="75"/>
      <c r="Y179" s="75"/>
      <c r="Z179" s="96">
        <f>SUM(Tableau13[[#This Row],[A-1]:[G-5]])</f>
        <v>0</v>
      </c>
      <c r="AA179" s="96" t="str">
        <f>IF(AND(Z179&gt;0,Tableau13[[#This Row],[CDS]]=""),"Oui","Non")</f>
        <v>Non</v>
      </c>
      <c r="AB179" s="75"/>
      <c r="AC179" s="75"/>
      <c r="AD179" s="75"/>
      <c r="AE179" s="75"/>
      <c r="AF179" s="75"/>
      <c r="AG179" s="75"/>
      <c r="AH179" s="75"/>
      <c r="AI179" s="75"/>
      <c r="AJ179" s="81"/>
      <c r="AK179" s="75"/>
      <c r="AL179" s="75"/>
    </row>
    <row r="180" spans="1:38" ht="15.75" hidden="1" thickBot="1" x14ac:dyDescent="0.3">
      <c r="A180" s="75"/>
      <c r="B180" s="75"/>
      <c r="C180" s="35">
        <f>INDEX(Données!$F$2:$L$54,MATCH(F180,Données!$F$2:$F$54,0),2)</f>
        <v>44025</v>
      </c>
      <c r="D180" s="29" t="str">
        <f t="shared" si="4"/>
        <v>#1</v>
      </c>
      <c r="E180" s="7">
        <f>Données!K30</f>
        <v>44029</v>
      </c>
      <c r="F180" s="6" t="str">
        <f>INDEX(Données!$F$2:$L$54,MATCH('#1'!E180,Données!$G$2:$G$54,1),1)</f>
        <v>29</v>
      </c>
      <c r="G180" s="18" t="str">
        <f t="shared" si="5"/>
        <v>PS-1</v>
      </c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1"/>
      <c r="W180" s="75"/>
      <c r="X180" s="75"/>
      <c r="Y180" s="75"/>
      <c r="Z180" s="96">
        <f>SUM(Tableau13[[#This Row],[A-1]:[G-5]])</f>
        <v>0</v>
      </c>
      <c r="AA180" s="96" t="str">
        <f>IF(AND(Z180&gt;0,Tableau13[[#This Row],[CDS]]=""),"Oui","Non")</f>
        <v>Non</v>
      </c>
      <c r="AB180" s="75"/>
      <c r="AC180" s="75"/>
      <c r="AD180" s="75"/>
      <c r="AE180" s="75"/>
      <c r="AF180" s="75"/>
      <c r="AG180" s="75"/>
      <c r="AH180" s="75"/>
      <c r="AI180" s="75"/>
      <c r="AJ180" s="81"/>
      <c r="AK180" s="75"/>
      <c r="AL180" s="75"/>
    </row>
    <row r="181" spans="1:38" ht="15.75" hidden="1" thickBot="1" x14ac:dyDescent="0.3">
      <c r="A181" s="75"/>
      <c r="B181" s="75"/>
      <c r="C181" s="35">
        <f>INDEX(Données!$F$2:$L$54,MATCH(F181,Données!$F$2:$F$54,0),2)</f>
        <v>44025</v>
      </c>
      <c r="D181" s="29" t="str">
        <f t="shared" si="4"/>
        <v>#1</v>
      </c>
      <c r="E181" s="7">
        <f>Données!L30</f>
        <v>44030</v>
      </c>
      <c r="F181" s="6" t="str">
        <f>INDEX(Données!$F$2:$L$54,MATCH('#1'!E181,Données!$G$2:$G$54,1),1)</f>
        <v>29</v>
      </c>
      <c r="G181" s="18" t="str">
        <f t="shared" si="5"/>
        <v>PS-1</v>
      </c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1"/>
      <c r="W181" s="75"/>
      <c r="X181" s="75"/>
      <c r="Y181" s="75"/>
      <c r="Z181" s="96">
        <f>SUM(Tableau13[[#This Row],[A-1]:[G-5]])</f>
        <v>0</v>
      </c>
      <c r="AA181" s="96" t="str">
        <f>IF(AND(Z181&gt;0,Tableau13[[#This Row],[CDS]]=""),"Oui","Non")</f>
        <v>Non</v>
      </c>
      <c r="AB181" s="75"/>
      <c r="AC181" s="75"/>
      <c r="AD181" s="75"/>
      <c r="AE181" s="75"/>
      <c r="AF181" s="75"/>
      <c r="AG181" s="75"/>
      <c r="AH181" s="75"/>
      <c r="AI181" s="75"/>
      <c r="AJ181" s="81"/>
      <c r="AK181" s="75"/>
      <c r="AL181" s="75"/>
    </row>
    <row r="182" spans="1:38" ht="15.75" hidden="1" thickBot="1" x14ac:dyDescent="0.3">
      <c r="A182" s="75"/>
      <c r="B182" s="75"/>
      <c r="C182" s="35">
        <f>INDEX(Données!$F$2:$L$54,MATCH(F182,Données!$F$2:$F$54,0),2)</f>
        <v>44032</v>
      </c>
      <c r="D182" s="29" t="str">
        <f t="shared" si="4"/>
        <v>#1</v>
      </c>
      <c r="E182" s="7">
        <f>Données!G31</f>
        <v>44032</v>
      </c>
      <c r="F182" s="6" t="str">
        <f>INDEX(Données!$F$2:$L$54,MATCH('#1'!E182,Données!$G$2:$G$54,1),1)</f>
        <v>30</v>
      </c>
      <c r="G182" s="18" t="str">
        <f t="shared" si="5"/>
        <v>PS-1</v>
      </c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1"/>
      <c r="W182" s="75"/>
      <c r="X182" s="75"/>
      <c r="Y182" s="75"/>
      <c r="Z182" s="96">
        <f>SUM(Tableau13[[#This Row],[A-1]:[G-5]])</f>
        <v>0</v>
      </c>
      <c r="AA182" s="96" t="str">
        <f>IF(AND(Z182&gt;0,Tableau13[[#This Row],[CDS]]=""),"Oui","Non")</f>
        <v>Non</v>
      </c>
      <c r="AB182" s="75"/>
      <c r="AC182" s="75"/>
      <c r="AD182" s="75"/>
      <c r="AE182" s="75"/>
      <c r="AF182" s="75"/>
      <c r="AG182" s="75"/>
      <c r="AH182" s="75"/>
      <c r="AI182" s="75"/>
      <c r="AJ182" s="81"/>
      <c r="AK182" s="75"/>
      <c r="AL182" s="75"/>
    </row>
    <row r="183" spans="1:38" ht="15.75" hidden="1" thickBot="1" x14ac:dyDescent="0.3">
      <c r="A183" s="75"/>
      <c r="B183" s="75"/>
      <c r="C183" s="35">
        <f>INDEX(Données!$F$2:$L$54,MATCH(F183,Données!$F$2:$F$54,0),2)</f>
        <v>44032</v>
      </c>
      <c r="D183" s="29" t="str">
        <f t="shared" si="4"/>
        <v>#1</v>
      </c>
      <c r="E183" s="7">
        <f>Données!H31</f>
        <v>44033</v>
      </c>
      <c r="F183" s="6" t="str">
        <f>INDEX(Données!$F$2:$L$54,MATCH('#1'!E183,Données!$G$2:$G$54,1),1)</f>
        <v>30</v>
      </c>
      <c r="G183" s="18" t="str">
        <f t="shared" si="5"/>
        <v>PS-1</v>
      </c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1"/>
      <c r="W183" s="75"/>
      <c r="X183" s="75"/>
      <c r="Y183" s="75"/>
      <c r="Z183" s="96">
        <f>SUM(Tableau13[[#This Row],[A-1]:[G-5]])</f>
        <v>0</v>
      </c>
      <c r="AA183" s="96" t="str">
        <f>IF(AND(Z183&gt;0,Tableau13[[#This Row],[CDS]]=""),"Oui","Non")</f>
        <v>Non</v>
      </c>
      <c r="AB183" s="75"/>
      <c r="AC183" s="75"/>
      <c r="AD183" s="75"/>
      <c r="AE183" s="75"/>
      <c r="AF183" s="75"/>
      <c r="AG183" s="75"/>
      <c r="AH183" s="75"/>
      <c r="AI183" s="75"/>
      <c r="AJ183" s="81"/>
      <c r="AK183" s="75"/>
      <c r="AL183" s="75"/>
    </row>
    <row r="184" spans="1:38" ht="15.75" hidden="1" thickBot="1" x14ac:dyDescent="0.3">
      <c r="A184" s="75"/>
      <c r="B184" s="75"/>
      <c r="C184" s="35">
        <f>INDEX(Données!$F$2:$L$54,MATCH(F184,Données!$F$2:$F$54,0),2)</f>
        <v>44032</v>
      </c>
      <c r="D184" s="29" t="str">
        <f t="shared" si="4"/>
        <v>#1</v>
      </c>
      <c r="E184" s="7">
        <f>Données!I31</f>
        <v>44034</v>
      </c>
      <c r="F184" s="6" t="str">
        <f>INDEX(Données!$F$2:$L$54,MATCH('#1'!E184,Données!$G$2:$G$54,1),1)</f>
        <v>30</v>
      </c>
      <c r="G184" s="18" t="str">
        <f t="shared" si="5"/>
        <v>PS-1</v>
      </c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1"/>
      <c r="W184" s="75"/>
      <c r="X184" s="75"/>
      <c r="Y184" s="75"/>
      <c r="Z184" s="96">
        <f>SUM(Tableau13[[#This Row],[A-1]:[G-5]])</f>
        <v>0</v>
      </c>
      <c r="AA184" s="96" t="str">
        <f>IF(AND(Z184&gt;0,Tableau13[[#This Row],[CDS]]=""),"Oui","Non")</f>
        <v>Non</v>
      </c>
      <c r="AB184" s="75"/>
      <c r="AC184" s="75"/>
      <c r="AD184" s="75"/>
      <c r="AE184" s="75"/>
      <c r="AF184" s="75"/>
      <c r="AG184" s="75"/>
      <c r="AH184" s="75"/>
      <c r="AI184" s="75"/>
      <c r="AJ184" s="81"/>
      <c r="AK184" s="75"/>
      <c r="AL184" s="75"/>
    </row>
    <row r="185" spans="1:38" ht="15.75" hidden="1" thickBot="1" x14ac:dyDescent="0.3">
      <c r="A185" s="75"/>
      <c r="B185" s="75"/>
      <c r="C185" s="35">
        <f>INDEX(Données!$F$2:$L$54,MATCH(F185,Données!$F$2:$F$54,0),2)</f>
        <v>44032</v>
      </c>
      <c r="D185" s="29" t="str">
        <f t="shared" si="4"/>
        <v>#1</v>
      </c>
      <c r="E185" s="7">
        <f>Données!J31</f>
        <v>44035</v>
      </c>
      <c r="F185" s="6" t="str">
        <f>INDEX(Données!$F$2:$L$54,MATCH('#1'!E185,Données!$G$2:$G$54,1),1)</f>
        <v>30</v>
      </c>
      <c r="G185" s="18" t="str">
        <f t="shared" si="5"/>
        <v>PS-1</v>
      </c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1"/>
      <c r="W185" s="75"/>
      <c r="X185" s="75"/>
      <c r="Y185" s="75"/>
      <c r="Z185" s="96">
        <f>SUM(Tableau13[[#This Row],[A-1]:[G-5]])</f>
        <v>0</v>
      </c>
      <c r="AA185" s="96" t="str">
        <f>IF(AND(Z185&gt;0,Tableau13[[#This Row],[CDS]]=""),"Oui","Non")</f>
        <v>Non</v>
      </c>
      <c r="AB185" s="75"/>
      <c r="AC185" s="75"/>
      <c r="AD185" s="75"/>
      <c r="AE185" s="75"/>
      <c r="AF185" s="75"/>
      <c r="AG185" s="75"/>
      <c r="AH185" s="75"/>
      <c r="AI185" s="75"/>
      <c r="AJ185" s="81"/>
      <c r="AK185" s="75"/>
      <c r="AL185" s="75"/>
    </row>
    <row r="186" spans="1:38" ht="15.75" hidden="1" thickBot="1" x14ac:dyDescent="0.3">
      <c r="A186" s="75"/>
      <c r="B186" s="75"/>
      <c r="C186" s="35">
        <f>INDEX(Données!$F$2:$L$54,MATCH(F186,Données!$F$2:$F$54,0),2)</f>
        <v>44032</v>
      </c>
      <c r="D186" s="29" t="str">
        <f t="shared" si="4"/>
        <v>#1</v>
      </c>
      <c r="E186" s="7">
        <f>Données!K31</f>
        <v>44036</v>
      </c>
      <c r="F186" s="6" t="str">
        <f>INDEX(Données!$F$2:$L$54,MATCH('#1'!E186,Données!$G$2:$G$54,1),1)</f>
        <v>30</v>
      </c>
      <c r="G186" s="18" t="str">
        <f t="shared" si="5"/>
        <v>PS-1</v>
      </c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1"/>
      <c r="W186" s="75"/>
      <c r="X186" s="75"/>
      <c r="Y186" s="75"/>
      <c r="Z186" s="96">
        <f>SUM(Tableau13[[#This Row],[A-1]:[G-5]])</f>
        <v>0</v>
      </c>
      <c r="AA186" s="96" t="str">
        <f>IF(AND(Z186&gt;0,Tableau13[[#This Row],[CDS]]=""),"Oui","Non")</f>
        <v>Non</v>
      </c>
      <c r="AB186" s="75"/>
      <c r="AC186" s="75"/>
      <c r="AD186" s="75"/>
      <c r="AE186" s="75"/>
      <c r="AF186" s="75"/>
      <c r="AG186" s="75"/>
      <c r="AH186" s="75"/>
      <c r="AI186" s="75"/>
      <c r="AJ186" s="81"/>
      <c r="AK186" s="75"/>
      <c r="AL186" s="75"/>
    </row>
    <row r="187" spans="1:38" ht="15.75" hidden="1" thickBot="1" x14ac:dyDescent="0.3">
      <c r="A187" s="75"/>
      <c r="B187" s="75"/>
      <c r="C187" s="35">
        <f>INDEX(Données!$F$2:$L$54,MATCH(F187,Données!$F$2:$F$54,0),2)</f>
        <v>44032</v>
      </c>
      <c r="D187" s="29" t="str">
        <f t="shared" si="4"/>
        <v>#1</v>
      </c>
      <c r="E187" s="7">
        <f>Données!L31</f>
        <v>44037</v>
      </c>
      <c r="F187" s="6" t="str">
        <f>INDEX(Données!$F$2:$L$54,MATCH('#1'!E187,Données!$G$2:$G$54,1),1)</f>
        <v>30</v>
      </c>
      <c r="G187" s="18" t="str">
        <f t="shared" si="5"/>
        <v>PS-1</v>
      </c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1"/>
      <c r="W187" s="75"/>
      <c r="X187" s="75"/>
      <c r="Y187" s="75"/>
      <c r="Z187" s="96">
        <f>SUM(Tableau13[[#This Row],[A-1]:[G-5]])</f>
        <v>0</v>
      </c>
      <c r="AA187" s="96" t="str">
        <f>IF(AND(Z187&gt;0,Tableau13[[#This Row],[CDS]]=""),"Oui","Non")</f>
        <v>Non</v>
      </c>
      <c r="AB187" s="75"/>
      <c r="AC187" s="75"/>
      <c r="AD187" s="75"/>
      <c r="AE187" s="75"/>
      <c r="AF187" s="75"/>
      <c r="AG187" s="75"/>
      <c r="AH187" s="75"/>
      <c r="AI187" s="75"/>
      <c r="AJ187" s="81"/>
      <c r="AK187" s="75"/>
      <c r="AL187" s="75"/>
    </row>
    <row r="188" spans="1:38" ht="15.75" hidden="1" thickBot="1" x14ac:dyDescent="0.3">
      <c r="A188" s="75"/>
      <c r="B188" s="75"/>
      <c r="C188" s="35">
        <f>INDEX(Données!$F$2:$L$54,MATCH(F188,Données!$F$2:$F$54,0),2)</f>
        <v>44039</v>
      </c>
      <c r="D188" s="29" t="str">
        <f t="shared" si="4"/>
        <v>#1</v>
      </c>
      <c r="E188" s="7">
        <f>Données!G32</f>
        <v>44039</v>
      </c>
      <c r="F188" s="6" t="str">
        <f>INDEX(Données!$F$2:$L$54,MATCH('#1'!E188,Données!$G$2:$G$54,1),1)</f>
        <v>31</v>
      </c>
      <c r="G188" s="18" t="str">
        <f t="shared" si="5"/>
        <v>PS-1</v>
      </c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1"/>
      <c r="W188" s="75"/>
      <c r="X188" s="75"/>
      <c r="Y188" s="75"/>
      <c r="Z188" s="96">
        <f>SUM(Tableau13[[#This Row],[A-1]:[G-5]])</f>
        <v>0</v>
      </c>
      <c r="AA188" s="96" t="str">
        <f>IF(AND(Z188&gt;0,Tableau13[[#This Row],[CDS]]=""),"Oui","Non")</f>
        <v>Non</v>
      </c>
      <c r="AB188" s="75"/>
      <c r="AC188" s="75"/>
      <c r="AD188" s="75"/>
      <c r="AE188" s="75"/>
      <c r="AF188" s="75"/>
      <c r="AG188" s="75"/>
      <c r="AH188" s="75"/>
      <c r="AI188" s="75"/>
      <c r="AJ188" s="81"/>
      <c r="AK188" s="75"/>
      <c r="AL188" s="75"/>
    </row>
    <row r="189" spans="1:38" ht="15.75" hidden="1" thickBot="1" x14ac:dyDescent="0.3">
      <c r="A189" s="75"/>
      <c r="B189" s="75"/>
      <c r="C189" s="35">
        <f>INDEX(Données!$F$2:$L$54,MATCH(F189,Données!$F$2:$F$54,0),2)</f>
        <v>44039</v>
      </c>
      <c r="D189" s="29" t="str">
        <f t="shared" si="4"/>
        <v>#1</v>
      </c>
      <c r="E189" s="7">
        <f>Données!H32</f>
        <v>44040</v>
      </c>
      <c r="F189" s="6" t="str">
        <f>INDEX(Données!$F$2:$L$54,MATCH('#1'!E189,Données!$G$2:$G$54,1),1)</f>
        <v>31</v>
      </c>
      <c r="G189" s="18" t="str">
        <f t="shared" si="5"/>
        <v>PS-1</v>
      </c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1"/>
      <c r="W189" s="75"/>
      <c r="X189" s="75"/>
      <c r="Y189" s="75"/>
      <c r="Z189" s="96">
        <f>SUM(Tableau13[[#This Row],[A-1]:[G-5]])</f>
        <v>0</v>
      </c>
      <c r="AA189" s="96" t="str">
        <f>IF(AND(Z189&gt;0,Tableau13[[#This Row],[CDS]]=""),"Oui","Non")</f>
        <v>Non</v>
      </c>
      <c r="AB189" s="75"/>
      <c r="AC189" s="75"/>
      <c r="AD189" s="75"/>
      <c r="AE189" s="75"/>
      <c r="AF189" s="75"/>
      <c r="AG189" s="75"/>
      <c r="AH189" s="75"/>
      <c r="AI189" s="75"/>
      <c r="AJ189" s="81"/>
      <c r="AK189" s="75"/>
      <c r="AL189" s="75"/>
    </row>
    <row r="190" spans="1:38" ht="15.75" hidden="1" thickBot="1" x14ac:dyDescent="0.3">
      <c r="A190" s="75"/>
      <c r="B190" s="75"/>
      <c r="C190" s="35">
        <f>INDEX(Données!$F$2:$L$54,MATCH(F190,Données!$F$2:$F$54,0),2)</f>
        <v>44039</v>
      </c>
      <c r="D190" s="29" t="str">
        <f t="shared" si="4"/>
        <v>#1</v>
      </c>
      <c r="E190" s="7">
        <f>Données!I32</f>
        <v>44041</v>
      </c>
      <c r="F190" s="6" t="str">
        <f>INDEX(Données!$F$2:$L$54,MATCH('#1'!E190,Données!$G$2:$G$54,1),1)</f>
        <v>31</v>
      </c>
      <c r="G190" s="18" t="str">
        <f t="shared" si="5"/>
        <v>PS-1</v>
      </c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1"/>
      <c r="W190" s="75"/>
      <c r="X190" s="75"/>
      <c r="Y190" s="75"/>
      <c r="Z190" s="96">
        <f>SUM(Tableau13[[#This Row],[A-1]:[G-5]])</f>
        <v>0</v>
      </c>
      <c r="AA190" s="96" t="str">
        <f>IF(AND(Z190&gt;0,Tableau13[[#This Row],[CDS]]=""),"Oui","Non")</f>
        <v>Non</v>
      </c>
      <c r="AB190" s="75"/>
      <c r="AC190" s="75"/>
      <c r="AD190" s="75"/>
      <c r="AE190" s="75"/>
      <c r="AF190" s="75"/>
      <c r="AG190" s="75"/>
      <c r="AH190" s="75"/>
      <c r="AI190" s="75"/>
      <c r="AJ190" s="81"/>
      <c r="AK190" s="75"/>
      <c r="AL190" s="75"/>
    </row>
    <row r="191" spans="1:38" ht="15.75" hidden="1" thickBot="1" x14ac:dyDescent="0.3">
      <c r="A191" s="75"/>
      <c r="B191" s="75"/>
      <c r="C191" s="35">
        <f>INDEX(Données!$F$2:$L$54,MATCH(F191,Données!$F$2:$F$54,0),2)</f>
        <v>44039</v>
      </c>
      <c r="D191" s="29" t="str">
        <f t="shared" si="4"/>
        <v>#1</v>
      </c>
      <c r="E191" s="7">
        <f>Données!J32</f>
        <v>44042</v>
      </c>
      <c r="F191" s="6" t="str">
        <f>INDEX(Données!$F$2:$L$54,MATCH('#1'!E191,Données!$G$2:$G$54,1),1)</f>
        <v>31</v>
      </c>
      <c r="G191" s="18" t="str">
        <f t="shared" si="5"/>
        <v>PS-1</v>
      </c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1"/>
      <c r="W191" s="75"/>
      <c r="X191" s="75"/>
      <c r="Y191" s="75"/>
      <c r="Z191" s="96">
        <f>SUM(Tableau13[[#This Row],[A-1]:[G-5]])</f>
        <v>0</v>
      </c>
      <c r="AA191" s="96" t="str">
        <f>IF(AND(Z191&gt;0,Tableau13[[#This Row],[CDS]]=""),"Oui","Non")</f>
        <v>Non</v>
      </c>
      <c r="AB191" s="75"/>
      <c r="AC191" s="75"/>
      <c r="AD191" s="75"/>
      <c r="AE191" s="75"/>
      <c r="AF191" s="75"/>
      <c r="AG191" s="75"/>
      <c r="AH191" s="75"/>
      <c r="AI191" s="75"/>
      <c r="AJ191" s="81"/>
      <c r="AK191" s="75"/>
      <c r="AL191" s="75"/>
    </row>
    <row r="192" spans="1:38" ht="15.75" hidden="1" thickBot="1" x14ac:dyDescent="0.3">
      <c r="A192" s="75"/>
      <c r="B192" s="75"/>
      <c r="C192" s="35">
        <f>INDEX(Données!$F$2:$L$54,MATCH(F192,Données!$F$2:$F$54,0),2)</f>
        <v>44039</v>
      </c>
      <c r="D192" s="29" t="str">
        <f t="shared" si="4"/>
        <v>#1</v>
      </c>
      <c r="E192" s="7">
        <f>Données!K32</f>
        <v>44043</v>
      </c>
      <c r="F192" s="6" t="str">
        <f>INDEX(Données!$F$2:$L$54,MATCH('#1'!E192,Données!$G$2:$G$54,1),1)</f>
        <v>31</v>
      </c>
      <c r="G192" s="18" t="str">
        <f t="shared" si="5"/>
        <v>PS-1</v>
      </c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1"/>
      <c r="W192" s="75"/>
      <c r="X192" s="75"/>
      <c r="Y192" s="75"/>
      <c r="Z192" s="96">
        <f>SUM(Tableau13[[#This Row],[A-1]:[G-5]])</f>
        <v>0</v>
      </c>
      <c r="AA192" s="96" t="str">
        <f>IF(AND(Z192&gt;0,Tableau13[[#This Row],[CDS]]=""),"Oui","Non")</f>
        <v>Non</v>
      </c>
      <c r="AB192" s="75"/>
      <c r="AC192" s="75"/>
      <c r="AD192" s="75"/>
      <c r="AE192" s="75"/>
      <c r="AF192" s="75"/>
      <c r="AG192" s="75"/>
      <c r="AH192" s="75"/>
      <c r="AI192" s="75"/>
      <c r="AJ192" s="81"/>
      <c r="AK192" s="75"/>
      <c r="AL192" s="75"/>
    </row>
    <row r="193" spans="1:38" ht="15.75" hidden="1" thickBot="1" x14ac:dyDescent="0.3">
      <c r="A193" s="75"/>
      <c r="B193" s="75"/>
      <c r="C193" s="35">
        <f>INDEX(Données!$F$2:$L$54,MATCH(F193,Données!$F$2:$F$54,0),2)</f>
        <v>44039</v>
      </c>
      <c r="D193" s="29" t="str">
        <f t="shared" si="4"/>
        <v>#1</v>
      </c>
      <c r="E193" s="7">
        <f>Données!L32</f>
        <v>44044</v>
      </c>
      <c r="F193" s="6" t="str">
        <f>INDEX(Données!$F$2:$L$54,MATCH('#1'!E193,Données!$G$2:$G$54,1),1)</f>
        <v>31</v>
      </c>
      <c r="G193" s="18" t="str">
        <f t="shared" si="5"/>
        <v>PS-1</v>
      </c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1"/>
      <c r="W193" s="75"/>
      <c r="X193" s="75"/>
      <c r="Y193" s="75"/>
      <c r="Z193" s="96">
        <f>SUM(Tableau13[[#This Row],[A-1]:[G-5]])</f>
        <v>0</v>
      </c>
      <c r="AA193" s="96" t="str">
        <f>IF(AND(Z193&gt;0,Tableau13[[#This Row],[CDS]]=""),"Oui","Non")</f>
        <v>Non</v>
      </c>
      <c r="AB193" s="75"/>
      <c r="AC193" s="75"/>
      <c r="AD193" s="75"/>
      <c r="AE193" s="75"/>
      <c r="AF193" s="75"/>
      <c r="AG193" s="75"/>
      <c r="AH193" s="75"/>
      <c r="AI193" s="75"/>
      <c r="AJ193" s="81"/>
      <c r="AK193" s="75"/>
      <c r="AL193" s="75"/>
    </row>
    <row r="194" spans="1:38" ht="15.75" hidden="1" thickBot="1" x14ac:dyDescent="0.3">
      <c r="A194" s="75"/>
      <c r="B194" s="75"/>
      <c r="C194" s="35">
        <f>INDEX(Données!$F$2:$L$54,MATCH(F194,Données!$F$2:$F$54,0),2)</f>
        <v>44046</v>
      </c>
      <c r="D194" s="29" t="str">
        <f t="shared" si="4"/>
        <v>#1</v>
      </c>
      <c r="E194" s="7">
        <f>Données!G33</f>
        <v>44046</v>
      </c>
      <c r="F194" s="6" t="str">
        <f>INDEX(Données!$F$2:$L$54,MATCH('#1'!E194,Données!$G$2:$G$54,1),1)</f>
        <v>32</v>
      </c>
      <c r="G194" s="18" t="str">
        <f t="shared" si="5"/>
        <v>PS-1</v>
      </c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1"/>
      <c r="W194" s="75"/>
      <c r="X194" s="75"/>
      <c r="Y194" s="75"/>
      <c r="Z194" s="96">
        <f>SUM(Tableau13[[#This Row],[A-1]:[G-5]])</f>
        <v>0</v>
      </c>
      <c r="AA194" s="96" t="str">
        <f>IF(AND(Z194&gt;0,Tableau13[[#This Row],[CDS]]=""),"Oui","Non")</f>
        <v>Non</v>
      </c>
      <c r="AB194" s="75"/>
      <c r="AC194" s="75"/>
      <c r="AD194" s="75"/>
      <c r="AE194" s="75"/>
      <c r="AF194" s="75"/>
      <c r="AG194" s="75"/>
      <c r="AH194" s="75"/>
      <c r="AI194" s="75"/>
      <c r="AJ194" s="81"/>
      <c r="AK194" s="75"/>
      <c r="AL194" s="75"/>
    </row>
    <row r="195" spans="1:38" ht="15.75" hidden="1" thickBot="1" x14ac:dyDescent="0.3">
      <c r="A195" s="75"/>
      <c r="B195" s="75"/>
      <c r="C195" s="35">
        <f>INDEX(Données!$F$2:$L$54,MATCH(F195,Données!$F$2:$F$54,0),2)</f>
        <v>44046</v>
      </c>
      <c r="D195" s="29" t="str">
        <f t="shared" si="4"/>
        <v>#1</v>
      </c>
      <c r="E195" s="7">
        <f>Données!H33</f>
        <v>44047</v>
      </c>
      <c r="F195" s="6" t="str">
        <f>INDEX(Données!$F$2:$L$54,MATCH('#1'!E195,Données!$G$2:$G$54,1),1)</f>
        <v>32</v>
      </c>
      <c r="G195" s="18" t="str">
        <f t="shared" si="5"/>
        <v>PS-1</v>
      </c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1"/>
      <c r="W195" s="75"/>
      <c r="X195" s="75"/>
      <c r="Y195" s="75"/>
      <c r="Z195" s="96">
        <f>SUM(Tableau13[[#This Row],[A-1]:[G-5]])</f>
        <v>0</v>
      </c>
      <c r="AA195" s="96" t="str">
        <f>IF(AND(Z195&gt;0,Tableau13[[#This Row],[CDS]]=""),"Oui","Non")</f>
        <v>Non</v>
      </c>
      <c r="AB195" s="75"/>
      <c r="AC195" s="75"/>
      <c r="AD195" s="75"/>
      <c r="AE195" s="75"/>
      <c r="AF195" s="75"/>
      <c r="AG195" s="75"/>
      <c r="AH195" s="75"/>
      <c r="AI195" s="75"/>
      <c r="AJ195" s="81"/>
      <c r="AK195" s="75"/>
      <c r="AL195" s="75"/>
    </row>
    <row r="196" spans="1:38" ht="15.75" hidden="1" thickBot="1" x14ac:dyDescent="0.3">
      <c r="A196" s="75"/>
      <c r="B196" s="75"/>
      <c r="C196" s="35">
        <f>INDEX(Données!$F$2:$L$54,MATCH(F196,Données!$F$2:$F$54,0),2)</f>
        <v>44046</v>
      </c>
      <c r="D196" s="29" t="str">
        <f t="shared" si="4"/>
        <v>#1</v>
      </c>
      <c r="E196" s="7">
        <f>Données!I33</f>
        <v>44048</v>
      </c>
      <c r="F196" s="6" t="str">
        <f>INDEX(Données!$F$2:$L$54,MATCH('#1'!E196,Données!$G$2:$G$54,1),1)</f>
        <v>32</v>
      </c>
      <c r="G196" s="18" t="str">
        <f t="shared" si="5"/>
        <v>PS-1</v>
      </c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1"/>
      <c r="W196" s="75"/>
      <c r="X196" s="75"/>
      <c r="Y196" s="75"/>
      <c r="Z196" s="96">
        <f>SUM(Tableau13[[#This Row],[A-1]:[G-5]])</f>
        <v>0</v>
      </c>
      <c r="AA196" s="96" t="str">
        <f>IF(AND(Z196&gt;0,Tableau13[[#This Row],[CDS]]=""),"Oui","Non")</f>
        <v>Non</v>
      </c>
      <c r="AB196" s="75"/>
      <c r="AC196" s="75"/>
      <c r="AD196" s="75"/>
      <c r="AE196" s="75"/>
      <c r="AF196" s="75"/>
      <c r="AG196" s="75"/>
      <c r="AH196" s="75"/>
      <c r="AI196" s="75"/>
      <c r="AJ196" s="81"/>
      <c r="AK196" s="75"/>
      <c r="AL196" s="75"/>
    </row>
    <row r="197" spans="1:38" ht="15.75" hidden="1" thickBot="1" x14ac:dyDescent="0.3">
      <c r="A197" s="75"/>
      <c r="B197" s="75"/>
      <c r="C197" s="35">
        <f>INDEX(Données!$F$2:$L$54,MATCH(F197,Données!$F$2:$F$54,0),2)</f>
        <v>44046</v>
      </c>
      <c r="D197" s="29" t="str">
        <f t="shared" si="4"/>
        <v>#1</v>
      </c>
      <c r="E197" s="7">
        <f>Données!J33</f>
        <v>44049</v>
      </c>
      <c r="F197" s="6" t="str">
        <f>INDEX(Données!$F$2:$L$54,MATCH('#1'!E197,Données!$G$2:$G$54,1),1)</f>
        <v>32</v>
      </c>
      <c r="G197" s="18" t="str">
        <f t="shared" si="5"/>
        <v>PS-1</v>
      </c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1"/>
      <c r="W197" s="75"/>
      <c r="X197" s="75"/>
      <c r="Y197" s="75"/>
      <c r="Z197" s="96">
        <f>SUM(Tableau13[[#This Row],[A-1]:[G-5]])</f>
        <v>0</v>
      </c>
      <c r="AA197" s="96" t="str">
        <f>IF(AND(Z197&gt;0,Tableau13[[#This Row],[CDS]]=""),"Oui","Non")</f>
        <v>Non</v>
      </c>
      <c r="AB197" s="75"/>
      <c r="AC197" s="75"/>
      <c r="AD197" s="75"/>
      <c r="AE197" s="75"/>
      <c r="AF197" s="75"/>
      <c r="AG197" s="75"/>
      <c r="AH197" s="75"/>
      <c r="AI197" s="75"/>
      <c r="AJ197" s="81"/>
      <c r="AK197" s="75"/>
      <c r="AL197" s="75"/>
    </row>
    <row r="198" spans="1:38" ht="15.75" hidden="1" thickBot="1" x14ac:dyDescent="0.3">
      <c r="A198" s="75"/>
      <c r="B198" s="75"/>
      <c r="C198" s="35">
        <f>INDEX(Données!$F$2:$L$54,MATCH(F198,Données!$F$2:$F$54,0),2)</f>
        <v>44046</v>
      </c>
      <c r="D198" s="29" t="str">
        <f t="shared" si="4"/>
        <v>#1</v>
      </c>
      <c r="E198" s="7">
        <f>Données!K33</f>
        <v>44050</v>
      </c>
      <c r="F198" s="6" t="str">
        <f>INDEX(Données!$F$2:$L$54,MATCH('#1'!E198,Données!$G$2:$G$54,1),1)</f>
        <v>32</v>
      </c>
      <c r="G198" s="18" t="str">
        <f t="shared" si="5"/>
        <v>PS-1</v>
      </c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1"/>
      <c r="W198" s="75"/>
      <c r="X198" s="75"/>
      <c r="Y198" s="75"/>
      <c r="Z198" s="96">
        <f>SUM(Tableau13[[#This Row],[A-1]:[G-5]])</f>
        <v>0</v>
      </c>
      <c r="AA198" s="96" t="str">
        <f>IF(AND(Z198&gt;0,Tableau13[[#This Row],[CDS]]=""),"Oui","Non")</f>
        <v>Non</v>
      </c>
      <c r="AB198" s="75"/>
      <c r="AC198" s="75"/>
      <c r="AD198" s="75"/>
      <c r="AE198" s="75"/>
      <c r="AF198" s="75"/>
      <c r="AG198" s="75"/>
      <c r="AH198" s="75"/>
      <c r="AI198" s="75"/>
      <c r="AJ198" s="81"/>
      <c r="AK198" s="75"/>
      <c r="AL198" s="75"/>
    </row>
    <row r="199" spans="1:38" ht="15.75" hidden="1" thickBot="1" x14ac:dyDescent="0.3">
      <c r="A199" s="75"/>
      <c r="B199" s="75"/>
      <c r="C199" s="35">
        <f>INDEX(Données!$F$2:$L$54,MATCH(F199,Données!$F$2:$F$54,0),2)</f>
        <v>44046</v>
      </c>
      <c r="D199" s="29" t="str">
        <f t="shared" si="4"/>
        <v>#1</v>
      </c>
      <c r="E199" s="7">
        <f>Données!L33</f>
        <v>44051</v>
      </c>
      <c r="F199" s="6" t="str">
        <f>INDEX(Données!$F$2:$L$54,MATCH('#1'!E199,Données!$G$2:$G$54,1),1)</f>
        <v>32</v>
      </c>
      <c r="G199" s="18" t="str">
        <f t="shared" si="5"/>
        <v>PS-1</v>
      </c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1"/>
      <c r="W199" s="75"/>
      <c r="X199" s="75"/>
      <c r="Y199" s="75"/>
      <c r="Z199" s="96">
        <f>SUM(Tableau13[[#This Row],[A-1]:[G-5]])</f>
        <v>0</v>
      </c>
      <c r="AA199" s="96" t="str">
        <f>IF(AND(Z199&gt;0,Tableau13[[#This Row],[CDS]]=""),"Oui","Non")</f>
        <v>Non</v>
      </c>
      <c r="AB199" s="75"/>
      <c r="AC199" s="75"/>
      <c r="AD199" s="75"/>
      <c r="AE199" s="75"/>
      <c r="AF199" s="75"/>
      <c r="AG199" s="75"/>
      <c r="AH199" s="75"/>
      <c r="AI199" s="75"/>
      <c r="AJ199" s="81"/>
      <c r="AK199" s="75"/>
      <c r="AL199" s="75"/>
    </row>
    <row r="200" spans="1:38" ht="15.75" hidden="1" thickBot="1" x14ac:dyDescent="0.3">
      <c r="A200" s="75"/>
      <c r="B200" s="75"/>
      <c r="C200" s="35">
        <f>INDEX(Données!$F$2:$L$54,MATCH(F200,Données!$F$2:$F$54,0),2)</f>
        <v>44053</v>
      </c>
      <c r="D200" s="29" t="str">
        <f t="shared" ref="D200:D263" si="6">$E$4</f>
        <v>#1</v>
      </c>
      <c r="E200" s="7">
        <f>Données!G34</f>
        <v>44053</v>
      </c>
      <c r="F200" s="6" t="str">
        <f>INDEX(Données!$F$2:$L$54,MATCH('#1'!E200,Données!$G$2:$G$54,1),1)</f>
        <v>33</v>
      </c>
      <c r="G200" s="18" t="str">
        <f t="shared" ref="G200:G263" si="7">IF(AND($V$5=1),"PS-1",IF(AND($V$5=2),"PS-2",IF(AND($V$5=4),"PS-4",IF(AND($V$5=6),"S.O.",IF(AND($V$5=5),"")))))</f>
        <v>PS-1</v>
      </c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1"/>
      <c r="W200" s="75"/>
      <c r="X200" s="75"/>
      <c r="Y200" s="75"/>
      <c r="Z200" s="96">
        <f>SUM(Tableau13[[#This Row],[A-1]:[G-5]])</f>
        <v>0</v>
      </c>
      <c r="AA200" s="96" t="str">
        <f>IF(AND(Z200&gt;0,Tableau13[[#This Row],[CDS]]=""),"Oui","Non")</f>
        <v>Non</v>
      </c>
      <c r="AB200" s="75"/>
      <c r="AC200" s="75"/>
      <c r="AD200" s="75"/>
      <c r="AE200" s="75"/>
      <c r="AF200" s="75"/>
      <c r="AG200" s="75"/>
      <c r="AH200" s="75"/>
      <c r="AI200" s="75"/>
      <c r="AJ200" s="81"/>
      <c r="AK200" s="75"/>
      <c r="AL200" s="75"/>
    </row>
    <row r="201" spans="1:38" ht="15.75" hidden="1" thickBot="1" x14ac:dyDescent="0.3">
      <c r="A201" s="75"/>
      <c r="B201" s="75"/>
      <c r="C201" s="35">
        <f>INDEX(Données!$F$2:$L$54,MATCH(F201,Données!$F$2:$F$54,0),2)</f>
        <v>44053</v>
      </c>
      <c r="D201" s="29" t="str">
        <f t="shared" si="6"/>
        <v>#1</v>
      </c>
      <c r="E201" s="7">
        <f>Données!H34</f>
        <v>44054</v>
      </c>
      <c r="F201" s="6" t="str">
        <f>INDEX(Données!$F$2:$L$54,MATCH('#1'!E201,Données!$G$2:$G$54,1),1)</f>
        <v>33</v>
      </c>
      <c r="G201" s="18" t="str">
        <f t="shared" si="7"/>
        <v>PS-1</v>
      </c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1"/>
      <c r="W201" s="75"/>
      <c r="X201" s="75"/>
      <c r="Y201" s="75"/>
      <c r="Z201" s="96">
        <f>SUM(Tableau13[[#This Row],[A-1]:[G-5]])</f>
        <v>0</v>
      </c>
      <c r="AA201" s="96" t="str">
        <f>IF(AND(Z201&gt;0,Tableau13[[#This Row],[CDS]]=""),"Oui","Non")</f>
        <v>Non</v>
      </c>
      <c r="AB201" s="75"/>
      <c r="AC201" s="75"/>
      <c r="AD201" s="75"/>
      <c r="AE201" s="75"/>
      <c r="AF201" s="75"/>
      <c r="AG201" s="75"/>
      <c r="AH201" s="75"/>
      <c r="AI201" s="75"/>
      <c r="AJ201" s="81"/>
      <c r="AK201" s="75"/>
      <c r="AL201" s="75"/>
    </row>
    <row r="202" spans="1:38" ht="15.75" hidden="1" thickBot="1" x14ac:dyDescent="0.3">
      <c r="A202" s="75"/>
      <c r="B202" s="75"/>
      <c r="C202" s="35">
        <f>INDEX(Données!$F$2:$L$54,MATCH(F202,Données!$F$2:$F$54,0),2)</f>
        <v>44053</v>
      </c>
      <c r="D202" s="29" t="str">
        <f t="shared" si="6"/>
        <v>#1</v>
      </c>
      <c r="E202" s="7">
        <f>Données!I34</f>
        <v>44055</v>
      </c>
      <c r="F202" s="6" t="str">
        <f>INDEX(Données!$F$2:$L$54,MATCH('#1'!E202,Données!$G$2:$G$54,1),1)</f>
        <v>33</v>
      </c>
      <c r="G202" s="18" t="str">
        <f t="shared" si="7"/>
        <v>PS-1</v>
      </c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1"/>
      <c r="W202" s="75"/>
      <c r="X202" s="75"/>
      <c r="Y202" s="75"/>
      <c r="Z202" s="96">
        <f>SUM(Tableau13[[#This Row],[A-1]:[G-5]])</f>
        <v>0</v>
      </c>
      <c r="AA202" s="96" t="str">
        <f>IF(AND(Z202&gt;0,Tableau13[[#This Row],[CDS]]=""),"Oui","Non")</f>
        <v>Non</v>
      </c>
      <c r="AB202" s="75"/>
      <c r="AC202" s="75"/>
      <c r="AD202" s="75"/>
      <c r="AE202" s="75"/>
      <c r="AF202" s="75"/>
      <c r="AG202" s="75"/>
      <c r="AH202" s="75"/>
      <c r="AI202" s="75"/>
      <c r="AJ202" s="81"/>
      <c r="AK202" s="75"/>
      <c r="AL202" s="75"/>
    </row>
    <row r="203" spans="1:38" ht="15.75" hidden="1" thickBot="1" x14ac:dyDescent="0.3">
      <c r="A203" s="75"/>
      <c r="B203" s="75"/>
      <c r="C203" s="35">
        <f>INDEX(Données!$F$2:$L$54,MATCH(F203,Données!$F$2:$F$54,0),2)</f>
        <v>44053</v>
      </c>
      <c r="D203" s="29" t="str">
        <f t="shared" si="6"/>
        <v>#1</v>
      </c>
      <c r="E203" s="7">
        <f>Données!J34</f>
        <v>44056</v>
      </c>
      <c r="F203" s="6" t="str">
        <f>INDEX(Données!$F$2:$L$54,MATCH('#1'!E203,Données!$G$2:$G$54,1),1)</f>
        <v>33</v>
      </c>
      <c r="G203" s="18" t="str">
        <f t="shared" si="7"/>
        <v>PS-1</v>
      </c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1"/>
      <c r="W203" s="75"/>
      <c r="X203" s="75"/>
      <c r="Y203" s="75"/>
      <c r="Z203" s="96">
        <f>SUM(Tableau13[[#This Row],[A-1]:[G-5]])</f>
        <v>0</v>
      </c>
      <c r="AA203" s="96" t="str">
        <f>IF(AND(Z203&gt;0,Tableau13[[#This Row],[CDS]]=""),"Oui","Non")</f>
        <v>Non</v>
      </c>
      <c r="AB203" s="75"/>
      <c r="AC203" s="75"/>
      <c r="AD203" s="75"/>
      <c r="AE203" s="75"/>
      <c r="AF203" s="75"/>
      <c r="AG203" s="75"/>
      <c r="AH203" s="75"/>
      <c r="AI203" s="75"/>
      <c r="AJ203" s="81"/>
      <c r="AK203" s="75"/>
      <c r="AL203" s="75"/>
    </row>
    <row r="204" spans="1:38" ht="15.75" hidden="1" thickBot="1" x14ac:dyDescent="0.3">
      <c r="A204" s="75"/>
      <c r="B204" s="75"/>
      <c r="C204" s="35">
        <f>INDEX(Données!$F$2:$L$54,MATCH(F204,Données!$F$2:$F$54,0),2)</f>
        <v>44053</v>
      </c>
      <c r="D204" s="29" t="str">
        <f t="shared" si="6"/>
        <v>#1</v>
      </c>
      <c r="E204" s="7">
        <f>Données!K34</f>
        <v>44057</v>
      </c>
      <c r="F204" s="6" t="str">
        <f>INDEX(Données!$F$2:$L$54,MATCH('#1'!E204,Données!$G$2:$G$54,1),1)</f>
        <v>33</v>
      </c>
      <c r="G204" s="18" t="str">
        <f t="shared" si="7"/>
        <v>PS-1</v>
      </c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1"/>
      <c r="W204" s="75"/>
      <c r="X204" s="75"/>
      <c r="Y204" s="75"/>
      <c r="Z204" s="96">
        <f>SUM(Tableau13[[#This Row],[A-1]:[G-5]])</f>
        <v>0</v>
      </c>
      <c r="AA204" s="96" t="str">
        <f>IF(AND(Z204&gt;0,Tableau13[[#This Row],[CDS]]=""),"Oui","Non")</f>
        <v>Non</v>
      </c>
      <c r="AB204" s="75"/>
      <c r="AC204" s="75"/>
      <c r="AD204" s="75"/>
      <c r="AE204" s="75"/>
      <c r="AF204" s="75"/>
      <c r="AG204" s="75"/>
      <c r="AH204" s="75"/>
      <c r="AI204" s="75"/>
      <c r="AJ204" s="81"/>
      <c r="AK204" s="75"/>
      <c r="AL204" s="75"/>
    </row>
    <row r="205" spans="1:38" ht="15.75" hidden="1" thickBot="1" x14ac:dyDescent="0.3">
      <c r="A205" s="75"/>
      <c r="B205" s="75"/>
      <c r="C205" s="35">
        <f>INDEX(Données!$F$2:$L$54,MATCH(F205,Données!$F$2:$F$54,0),2)</f>
        <v>44053</v>
      </c>
      <c r="D205" s="29" t="str">
        <f t="shared" si="6"/>
        <v>#1</v>
      </c>
      <c r="E205" s="7">
        <f>Données!L34</f>
        <v>44058</v>
      </c>
      <c r="F205" s="6" t="str">
        <f>INDEX(Données!$F$2:$L$54,MATCH('#1'!E205,Données!$G$2:$G$54,1),1)</f>
        <v>33</v>
      </c>
      <c r="G205" s="18" t="str">
        <f t="shared" si="7"/>
        <v>PS-1</v>
      </c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1"/>
      <c r="W205" s="75"/>
      <c r="X205" s="75"/>
      <c r="Y205" s="75"/>
      <c r="Z205" s="96">
        <f>SUM(Tableau13[[#This Row],[A-1]:[G-5]])</f>
        <v>0</v>
      </c>
      <c r="AA205" s="96" t="str">
        <f>IF(AND(Z205&gt;0,Tableau13[[#This Row],[CDS]]=""),"Oui","Non")</f>
        <v>Non</v>
      </c>
      <c r="AB205" s="75"/>
      <c r="AC205" s="75"/>
      <c r="AD205" s="75"/>
      <c r="AE205" s="75"/>
      <c r="AF205" s="75"/>
      <c r="AG205" s="75"/>
      <c r="AH205" s="75"/>
      <c r="AI205" s="75"/>
      <c r="AJ205" s="81"/>
      <c r="AK205" s="75"/>
      <c r="AL205" s="75"/>
    </row>
    <row r="206" spans="1:38" ht="15.75" hidden="1" thickBot="1" x14ac:dyDescent="0.3">
      <c r="A206" s="75"/>
      <c r="B206" s="75"/>
      <c r="C206" s="35">
        <f>INDEX(Données!$F$2:$L$54,MATCH(F206,Données!$F$2:$F$54,0),2)</f>
        <v>44060</v>
      </c>
      <c r="D206" s="29" t="str">
        <f t="shared" si="6"/>
        <v>#1</v>
      </c>
      <c r="E206" s="7">
        <f>Données!G35</f>
        <v>44060</v>
      </c>
      <c r="F206" s="6" t="str">
        <f>INDEX(Données!$F$2:$L$54,MATCH('#1'!E206,Données!$G$2:$G$54,1),1)</f>
        <v>34</v>
      </c>
      <c r="G206" s="18" t="str">
        <f t="shared" si="7"/>
        <v>PS-1</v>
      </c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1"/>
      <c r="W206" s="75"/>
      <c r="X206" s="75"/>
      <c r="Y206" s="75"/>
      <c r="Z206" s="96">
        <f>SUM(Tableau13[[#This Row],[A-1]:[G-5]])</f>
        <v>0</v>
      </c>
      <c r="AA206" s="96" t="str">
        <f>IF(AND(Z206&gt;0,Tableau13[[#This Row],[CDS]]=""),"Oui","Non")</f>
        <v>Non</v>
      </c>
      <c r="AB206" s="75"/>
      <c r="AC206" s="75"/>
      <c r="AD206" s="75"/>
      <c r="AE206" s="75"/>
      <c r="AF206" s="75"/>
      <c r="AG206" s="75"/>
      <c r="AH206" s="75"/>
      <c r="AI206" s="75"/>
      <c r="AJ206" s="81"/>
      <c r="AK206" s="75"/>
      <c r="AL206" s="75"/>
    </row>
    <row r="207" spans="1:38" ht="15.75" hidden="1" thickBot="1" x14ac:dyDescent="0.3">
      <c r="A207" s="75"/>
      <c r="B207" s="75"/>
      <c r="C207" s="35">
        <f>INDEX(Données!$F$2:$L$54,MATCH(F207,Données!$F$2:$F$54,0),2)</f>
        <v>44060</v>
      </c>
      <c r="D207" s="29" t="str">
        <f t="shared" si="6"/>
        <v>#1</v>
      </c>
      <c r="E207" s="7">
        <f>Données!H35</f>
        <v>44061</v>
      </c>
      <c r="F207" s="6" t="str">
        <f>INDEX(Données!$F$2:$L$54,MATCH('#1'!E207,Données!$G$2:$G$54,1),1)</f>
        <v>34</v>
      </c>
      <c r="G207" s="18" t="str">
        <f t="shared" si="7"/>
        <v>PS-1</v>
      </c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1"/>
      <c r="W207" s="75"/>
      <c r="X207" s="75"/>
      <c r="Y207" s="75"/>
      <c r="Z207" s="96">
        <f>SUM(Tableau13[[#This Row],[A-1]:[G-5]])</f>
        <v>0</v>
      </c>
      <c r="AA207" s="96" t="str">
        <f>IF(AND(Z207&gt;0,Tableau13[[#This Row],[CDS]]=""),"Oui","Non")</f>
        <v>Non</v>
      </c>
      <c r="AB207" s="75"/>
      <c r="AC207" s="75"/>
      <c r="AD207" s="75"/>
      <c r="AE207" s="75"/>
      <c r="AF207" s="75"/>
      <c r="AG207" s="75"/>
      <c r="AH207" s="75"/>
      <c r="AI207" s="75"/>
      <c r="AJ207" s="81"/>
      <c r="AK207" s="75"/>
      <c r="AL207" s="75"/>
    </row>
    <row r="208" spans="1:38" ht="15.75" hidden="1" thickBot="1" x14ac:dyDescent="0.3">
      <c r="A208" s="75"/>
      <c r="B208" s="75"/>
      <c r="C208" s="35">
        <f>INDEX(Données!$F$2:$L$54,MATCH(F208,Données!$F$2:$F$54,0),2)</f>
        <v>44060</v>
      </c>
      <c r="D208" s="29" t="str">
        <f t="shared" si="6"/>
        <v>#1</v>
      </c>
      <c r="E208" s="7">
        <f>Données!I35</f>
        <v>44062</v>
      </c>
      <c r="F208" s="6" t="str">
        <f>INDEX(Données!$F$2:$L$54,MATCH('#1'!E208,Données!$G$2:$G$54,1),1)</f>
        <v>34</v>
      </c>
      <c r="G208" s="18" t="str">
        <f t="shared" si="7"/>
        <v>PS-1</v>
      </c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1"/>
      <c r="W208" s="75"/>
      <c r="X208" s="75"/>
      <c r="Y208" s="75"/>
      <c r="Z208" s="96">
        <f>SUM(Tableau13[[#This Row],[A-1]:[G-5]])</f>
        <v>0</v>
      </c>
      <c r="AA208" s="96" t="str">
        <f>IF(AND(Z208&gt;0,Tableau13[[#This Row],[CDS]]=""),"Oui","Non")</f>
        <v>Non</v>
      </c>
      <c r="AB208" s="75"/>
      <c r="AC208" s="75"/>
      <c r="AD208" s="75"/>
      <c r="AE208" s="75"/>
      <c r="AF208" s="75"/>
      <c r="AG208" s="75"/>
      <c r="AH208" s="75"/>
      <c r="AI208" s="75"/>
      <c r="AJ208" s="81"/>
      <c r="AK208" s="75"/>
      <c r="AL208" s="75"/>
    </row>
    <row r="209" spans="1:38" ht="15.75" hidden="1" thickBot="1" x14ac:dyDescent="0.3">
      <c r="A209" s="75"/>
      <c r="B209" s="75"/>
      <c r="C209" s="35">
        <f>INDEX(Données!$F$2:$L$54,MATCH(F209,Données!$F$2:$F$54,0),2)</f>
        <v>44060</v>
      </c>
      <c r="D209" s="29" t="str">
        <f t="shared" si="6"/>
        <v>#1</v>
      </c>
      <c r="E209" s="7">
        <f>Données!J35</f>
        <v>44063</v>
      </c>
      <c r="F209" s="6" t="str">
        <f>INDEX(Données!$F$2:$L$54,MATCH('#1'!E209,Données!$G$2:$G$54,1),1)</f>
        <v>34</v>
      </c>
      <c r="G209" s="18" t="str">
        <f t="shared" si="7"/>
        <v>PS-1</v>
      </c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1"/>
      <c r="W209" s="75"/>
      <c r="X209" s="75"/>
      <c r="Y209" s="75"/>
      <c r="Z209" s="96">
        <f>SUM(Tableau13[[#This Row],[A-1]:[G-5]])</f>
        <v>0</v>
      </c>
      <c r="AA209" s="96" t="str">
        <f>IF(AND(Z209&gt;0,Tableau13[[#This Row],[CDS]]=""),"Oui","Non")</f>
        <v>Non</v>
      </c>
      <c r="AB209" s="75"/>
      <c r="AC209" s="75"/>
      <c r="AD209" s="75"/>
      <c r="AE209" s="75"/>
      <c r="AF209" s="75"/>
      <c r="AG209" s="75"/>
      <c r="AH209" s="75"/>
      <c r="AI209" s="75"/>
      <c r="AJ209" s="81"/>
      <c r="AK209" s="75"/>
      <c r="AL209" s="75"/>
    </row>
    <row r="210" spans="1:38" ht="15.75" hidden="1" thickBot="1" x14ac:dyDescent="0.3">
      <c r="A210" s="75"/>
      <c r="B210" s="75"/>
      <c r="C210" s="35">
        <f>INDEX(Données!$F$2:$L$54,MATCH(F210,Données!$F$2:$F$54,0),2)</f>
        <v>44060</v>
      </c>
      <c r="D210" s="29" t="str">
        <f t="shared" si="6"/>
        <v>#1</v>
      </c>
      <c r="E210" s="7">
        <f>Données!K35</f>
        <v>44064</v>
      </c>
      <c r="F210" s="6" t="str">
        <f>INDEX(Données!$F$2:$L$54,MATCH('#1'!E210,Données!$G$2:$G$54,1),1)</f>
        <v>34</v>
      </c>
      <c r="G210" s="18" t="str">
        <f t="shared" si="7"/>
        <v>PS-1</v>
      </c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1"/>
      <c r="W210" s="75"/>
      <c r="X210" s="75"/>
      <c r="Y210" s="75"/>
      <c r="Z210" s="96">
        <f>SUM(Tableau13[[#This Row],[A-1]:[G-5]])</f>
        <v>0</v>
      </c>
      <c r="AA210" s="96" t="str">
        <f>IF(AND(Z210&gt;0,Tableau13[[#This Row],[CDS]]=""),"Oui","Non")</f>
        <v>Non</v>
      </c>
      <c r="AB210" s="75"/>
      <c r="AC210" s="75"/>
      <c r="AD210" s="75"/>
      <c r="AE210" s="75"/>
      <c r="AF210" s="75"/>
      <c r="AG210" s="75"/>
      <c r="AH210" s="75"/>
      <c r="AI210" s="75"/>
      <c r="AJ210" s="81"/>
      <c r="AK210" s="75"/>
      <c r="AL210" s="75"/>
    </row>
    <row r="211" spans="1:38" ht="15.75" hidden="1" thickBot="1" x14ac:dyDescent="0.3">
      <c r="A211" s="75"/>
      <c r="B211" s="75"/>
      <c r="C211" s="35">
        <f>INDEX(Données!$F$2:$L$54,MATCH(F211,Données!$F$2:$F$54,0),2)</f>
        <v>44060</v>
      </c>
      <c r="D211" s="29" t="str">
        <f t="shared" si="6"/>
        <v>#1</v>
      </c>
      <c r="E211" s="7">
        <f>Données!L35</f>
        <v>44065</v>
      </c>
      <c r="F211" s="6" t="str">
        <f>INDEX(Données!$F$2:$L$54,MATCH('#1'!E211,Données!$G$2:$G$54,1),1)</f>
        <v>34</v>
      </c>
      <c r="G211" s="18" t="str">
        <f t="shared" si="7"/>
        <v>PS-1</v>
      </c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1"/>
      <c r="W211" s="75"/>
      <c r="X211" s="75"/>
      <c r="Y211" s="75"/>
      <c r="Z211" s="96">
        <f>SUM(Tableau13[[#This Row],[A-1]:[G-5]])</f>
        <v>0</v>
      </c>
      <c r="AA211" s="96" t="str">
        <f>IF(AND(Z211&gt;0,Tableau13[[#This Row],[CDS]]=""),"Oui","Non")</f>
        <v>Non</v>
      </c>
      <c r="AB211" s="75"/>
      <c r="AC211" s="75"/>
      <c r="AD211" s="75"/>
      <c r="AE211" s="75"/>
      <c r="AF211" s="75"/>
      <c r="AG211" s="75"/>
      <c r="AH211" s="75"/>
      <c r="AI211" s="75"/>
      <c r="AJ211" s="81"/>
      <c r="AK211" s="75"/>
      <c r="AL211" s="75"/>
    </row>
    <row r="212" spans="1:38" ht="15.75" hidden="1" thickBot="1" x14ac:dyDescent="0.3">
      <c r="A212" s="75"/>
      <c r="B212" s="75"/>
      <c r="C212" s="35">
        <f>INDEX(Données!$F$2:$L$54,MATCH(F212,Données!$F$2:$F$54,0),2)</f>
        <v>44067</v>
      </c>
      <c r="D212" s="29" t="str">
        <f t="shared" si="6"/>
        <v>#1</v>
      </c>
      <c r="E212" s="7">
        <f>Données!G36</f>
        <v>44067</v>
      </c>
      <c r="F212" s="6" t="str">
        <f>INDEX(Données!$F$2:$L$54,MATCH('#1'!E212,Données!$G$2:$G$54,1),1)</f>
        <v>35</v>
      </c>
      <c r="G212" s="18" t="str">
        <f t="shared" si="7"/>
        <v>PS-1</v>
      </c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1"/>
      <c r="W212" s="75"/>
      <c r="X212" s="75"/>
      <c r="Y212" s="75"/>
      <c r="Z212" s="96">
        <f>SUM(Tableau13[[#This Row],[A-1]:[G-5]])</f>
        <v>0</v>
      </c>
      <c r="AA212" s="96" t="str">
        <f>IF(AND(Z212&gt;0,Tableau13[[#This Row],[CDS]]=""),"Oui","Non")</f>
        <v>Non</v>
      </c>
      <c r="AB212" s="75"/>
      <c r="AC212" s="75"/>
      <c r="AD212" s="75"/>
      <c r="AE212" s="75"/>
      <c r="AF212" s="75"/>
      <c r="AG212" s="75"/>
      <c r="AH212" s="75"/>
      <c r="AI212" s="75"/>
      <c r="AJ212" s="81"/>
      <c r="AK212" s="75"/>
      <c r="AL212" s="75"/>
    </row>
    <row r="213" spans="1:38" ht="15.75" hidden="1" thickBot="1" x14ac:dyDescent="0.3">
      <c r="A213" s="75"/>
      <c r="B213" s="75"/>
      <c r="C213" s="35">
        <f>INDEX(Données!$F$2:$L$54,MATCH(F213,Données!$F$2:$F$54,0),2)</f>
        <v>44067</v>
      </c>
      <c r="D213" s="29" t="str">
        <f t="shared" si="6"/>
        <v>#1</v>
      </c>
      <c r="E213" s="7">
        <f>Données!H36</f>
        <v>44068</v>
      </c>
      <c r="F213" s="6" t="str">
        <f>INDEX(Données!$F$2:$L$54,MATCH('#1'!E213,Données!$G$2:$G$54,1),1)</f>
        <v>35</v>
      </c>
      <c r="G213" s="18" t="str">
        <f t="shared" si="7"/>
        <v>PS-1</v>
      </c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1"/>
      <c r="W213" s="75"/>
      <c r="X213" s="75"/>
      <c r="Y213" s="75"/>
      <c r="Z213" s="96">
        <f>SUM(Tableau13[[#This Row],[A-1]:[G-5]])</f>
        <v>0</v>
      </c>
      <c r="AA213" s="96" t="str">
        <f>IF(AND(Z213&gt;0,Tableau13[[#This Row],[CDS]]=""),"Oui","Non")</f>
        <v>Non</v>
      </c>
      <c r="AB213" s="75"/>
      <c r="AC213" s="75"/>
      <c r="AD213" s="75"/>
      <c r="AE213" s="75"/>
      <c r="AF213" s="75"/>
      <c r="AG213" s="75"/>
      <c r="AH213" s="75"/>
      <c r="AI213" s="75"/>
      <c r="AJ213" s="81"/>
      <c r="AK213" s="75"/>
      <c r="AL213" s="75"/>
    </row>
    <row r="214" spans="1:38" ht="15.75" hidden="1" thickBot="1" x14ac:dyDescent="0.3">
      <c r="A214" s="75"/>
      <c r="B214" s="75"/>
      <c r="C214" s="35">
        <f>INDEX(Données!$F$2:$L$54,MATCH(F214,Données!$F$2:$F$54,0),2)</f>
        <v>44067</v>
      </c>
      <c r="D214" s="29" t="str">
        <f t="shared" si="6"/>
        <v>#1</v>
      </c>
      <c r="E214" s="7">
        <f>Données!I36</f>
        <v>44069</v>
      </c>
      <c r="F214" s="6" t="str">
        <f>INDEX(Données!$F$2:$L$54,MATCH('#1'!E214,Données!$G$2:$G$54,1),1)</f>
        <v>35</v>
      </c>
      <c r="G214" s="18" t="str">
        <f t="shared" si="7"/>
        <v>PS-1</v>
      </c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1"/>
      <c r="W214" s="75"/>
      <c r="X214" s="75"/>
      <c r="Y214" s="75"/>
      <c r="Z214" s="96">
        <f>SUM(Tableau13[[#This Row],[A-1]:[G-5]])</f>
        <v>0</v>
      </c>
      <c r="AA214" s="96" t="str">
        <f>IF(AND(Z214&gt;0,Tableau13[[#This Row],[CDS]]=""),"Oui","Non")</f>
        <v>Non</v>
      </c>
      <c r="AB214" s="75"/>
      <c r="AC214" s="75"/>
      <c r="AD214" s="75"/>
      <c r="AE214" s="75"/>
      <c r="AF214" s="75"/>
      <c r="AG214" s="75"/>
      <c r="AH214" s="75"/>
      <c r="AI214" s="75"/>
      <c r="AJ214" s="81"/>
      <c r="AK214" s="75"/>
      <c r="AL214" s="75"/>
    </row>
    <row r="215" spans="1:38" ht="15.75" hidden="1" thickBot="1" x14ac:dyDescent="0.3">
      <c r="A215" s="75"/>
      <c r="B215" s="75"/>
      <c r="C215" s="35">
        <f>INDEX(Données!$F$2:$L$54,MATCH(F215,Données!$F$2:$F$54,0),2)</f>
        <v>44067</v>
      </c>
      <c r="D215" s="29" t="str">
        <f t="shared" si="6"/>
        <v>#1</v>
      </c>
      <c r="E215" s="7">
        <f>Données!J36</f>
        <v>44070</v>
      </c>
      <c r="F215" s="6" t="str">
        <f>INDEX(Données!$F$2:$L$54,MATCH('#1'!E215,Données!$G$2:$G$54,1),1)</f>
        <v>35</v>
      </c>
      <c r="G215" s="18" t="str">
        <f t="shared" si="7"/>
        <v>PS-1</v>
      </c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1"/>
      <c r="W215" s="75"/>
      <c r="X215" s="75"/>
      <c r="Y215" s="75"/>
      <c r="Z215" s="96">
        <f>SUM(Tableau13[[#This Row],[A-1]:[G-5]])</f>
        <v>0</v>
      </c>
      <c r="AA215" s="96" t="str">
        <f>IF(AND(Z215&gt;0,Tableau13[[#This Row],[CDS]]=""),"Oui","Non")</f>
        <v>Non</v>
      </c>
      <c r="AB215" s="75"/>
      <c r="AC215" s="75"/>
      <c r="AD215" s="75"/>
      <c r="AE215" s="75"/>
      <c r="AF215" s="75"/>
      <c r="AG215" s="75"/>
      <c r="AH215" s="75"/>
      <c r="AI215" s="75"/>
      <c r="AJ215" s="81"/>
      <c r="AK215" s="75"/>
      <c r="AL215" s="75"/>
    </row>
    <row r="216" spans="1:38" ht="15.75" hidden="1" thickBot="1" x14ac:dyDescent="0.3">
      <c r="A216" s="75"/>
      <c r="B216" s="75"/>
      <c r="C216" s="35">
        <f>INDEX(Données!$F$2:$L$54,MATCH(F216,Données!$F$2:$F$54,0),2)</f>
        <v>44067</v>
      </c>
      <c r="D216" s="29" t="str">
        <f t="shared" si="6"/>
        <v>#1</v>
      </c>
      <c r="E216" s="7">
        <f>Données!K36</f>
        <v>44071</v>
      </c>
      <c r="F216" s="6" t="str">
        <f>INDEX(Données!$F$2:$L$54,MATCH('#1'!E216,Données!$G$2:$G$54,1),1)</f>
        <v>35</v>
      </c>
      <c r="G216" s="18" t="str">
        <f t="shared" si="7"/>
        <v>PS-1</v>
      </c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1"/>
      <c r="W216" s="75"/>
      <c r="X216" s="75"/>
      <c r="Y216" s="75"/>
      <c r="Z216" s="96">
        <f>SUM(Tableau13[[#This Row],[A-1]:[G-5]])</f>
        <v>0</v>
      </c>
      <c r="AA216" s="96" t="str">
        <f>IF(AND(Z216&gt;0,Tableau13[[#This Row],[CDS]]=""),"Oui","Non")</f>
        <v>Non</v>
      </c>
      <c r="AB216" s="75"/>
      <c r="AC216" s="75"/>
      <c r="AD216" s="75"/>
      <c r="AE216" s="75"/>
      <c r="AF216" s="75"/>
      <c r="AG216" s="75"/>
      <c r="AH216" s="75"/>
      <c r="AI216" s="75"/>
      <c r="AJ216" s="81"/>
      <c r="AK216" s="75"/>
      <c r="AL216" s="75"/>
    </row>
    <row r="217" spans="1:38" ht="15.75" hidden="1" thickBot="1" x14ac:dyDescent="0.3">
      <c r="A217" s="75"/>
      <c r="B217" s="75"/>
      <c r="C217" s="35">
        <f>INDEX(Données!$F$2:$L$54,MATCH(F217,Données!$F$2:$F$54,0),2)</f>
        <v>44067</v>
      </c>
      <c r="D217" s="29" t="str">
        <f t="shared" si="6"/>
        <v>#1</v>
      </c>
      <c r="E217" s="7">
        <f>Données!L36</f>
        <v>44072</v>
      </c>
      <c r="F217" s="6" t="str">
        <f>INDEX(Données!$F$2:$L$54,MATCH('#1'!E217,Données!$G$2:$G$54,1),1)</f>
        <v>35</v>
      </c>
      <c r="G217" s="18" t="str">
        <f t="shared" si="7"/>
        <v>PS-1</v>
      </c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1"/>
      <c r="W217" s="75"/>
      <c r="X217" s="75"/>
      <c r="Y217" s="75"/>
      <c r="Z217" s="96">
        <f>SUM(Tableau13[[#This Row],[A-1]:[G-5]])</f>
        <v>0</v>
      </c>
      <c r="AA217" s="96" t="str">
        <f>IF(AND(Z217&gt;0,Tableau13[[#This Row],[CDS]]=""),"Oui","Non")</f>
        <v>Non</v>
      </c>
      <c r="AB217" s="75"/>
      <c r="AC217" s="75"/>
      <c r="AD217" s="75"/>
      <c r="AE217" s="75"/>
      <c r="AF217" s="75"/>
      <c r="AG217" s="75"/>
      <c r="AH217" s="75"/>
      <c r="AI217" s="75"/>
      <c r="AJ217" s="81"/>
      <c r="AK217" s="75"/>
      <c r="AL217" s="75"/>
    </row>
    <row r="218" spans="1:38" ht="15.75" hidden="1" thickBot="1" x14ac:dyDescent="0.3">
      <c r="A218" s="75"/>
      <c r="B218" s="75"/>
      <c r="C218" s="35">
        <f>INDEX(Données!$F$2:$L$54,MATCH(F218,Données!$F$2:$F$54,0),2)</f>
        <v>44074</v>
      </c>
      <c r="D218" s="29" t="str">
        <f t="shared" si="6"/>
        <v>#1</v>
      </c>
      <c r="E218" s="7">
        <f>Données!G37</f>
        <v>44074</v>
      </c>
      <c r="F218" s="6" t="str">
        <f>INDEX(Données!$F$2:$L$54,MATCH('#1'!E218,Données!$G$2:$G$54,1),1)</f>
        <v>36</v>
      </c>
      <c r="G218" s="18" t="str">
        <f t="shared" si="7"/>
        <v>PS-1</v>
      </c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1"/>
      <c r="W218" s="75"/>
      <c r="X218" s="75"/>
      <c r="Y218" s="75"/>
      <c r="Z218" s="96">
        <f>SUM(Tableau13[[#This Row],[A-1]:[G-5]])</f>
        <v>0</v>
      </c>
      <c r="AA218" s="96" t="str">
        <f>IF(AND(Z218&gt;0,Tableau13[[#This Row],[CDS]]=""),"Oui","Non")</f>
        <v>Non</v>
      </c>
      <c r="AB218" s="75"/>
      <c r="AC218" s="75"/>
      <c r="AD218" s="75"/>
      <c r="AE218" s="75"/>
      <c r="AF218" s="75"/>
      <c r="AG218" s="75"/>
      <c r="AH218" s="75"/>
      <c r="AI218" s="75"/>
      <c r="AJ218" s="81"/>
      <c r="AK218" s="75"/>
      <c r="AL218" s="75"/>
    </row>
    <row r="219" spans="1:38" ht="15.75" hidden="1" thickBot="1" x14ac:dyDescent="0.3">
      <c r="A219" s="75"/>
      <c r="B219" s="75"/>
      <c r="C219" s="35">
        <f>INDEX(Données!$F$2:$L$54,MATCH(F219,Données!$F$2:$F$54,0),2)</f>
        <v>44074</v>
      </c>
      <c r="D219" s="29" t="str">
        <f t="shared" si="6"/>
        <v>#1</v>
      </c>
      <c r="E219" s="7">
        <f>Données!H37</f>
        <v>44075</v>
      </c>
      <c r="F219" s="6" t="str">
        <f>INDEX(Données!$F$2:$L$54,MATCH('#1'!E219,Données!$G$2:$G$54,1),1)</f>
        <v>36</v>
      </c>
      <c r="G219" s="18" t="str">
        <f t="shared" si="7"/>
        <v>PS-1</v>
      </c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1"/>
      <c r="W219" s="75"/>
      <c r="X219" s="75"/>
      <c r="Y219" s="75"/>
      <c r="Z219" s="96">
        <f>SUM(Tableau13[[#This Row],[A-1]:[G-5]])</f>
        <v>0</v>
      </c>
      <c r="AA219" s="96" t="str">
        <f>IF(AND(Z219&gt;0,Tableau13[[#This Row],[CDS]]=""),"Oui","Non")</f>
        <v>Non</v>
      </c>
      <c r="AB219" s="75"/>
      <c r="AC219" s="75"/>
      <c r="AD219" s="75"/>
      <c r="AE219" s="75"/>
      <c r="AF219" s="75"/>
      <c r="AG219" s="75"/>
      <c r="AH219" s="75"/>
      <c r="AI219" s="75"/>
      <c r="AJ219" s="81"/>
      <c r="AK219" s="75"/>
      <c r="AL219" s="75"/>
    </row>
    <row r="220" spans="1:38" ht="15.75" hidden="1" thickBot="1" x14ac:dyDescent="0.3">
      <c r="A220" s="75"/>
      <c r="B220" s="75"/>
      <c r="C220" s="35">
        <f>INDEX(Données!$F$2:$L$54,MATCH(F220,Données!$F$2:$F$54,0),2)</f>
        <v>44074</v>
      </c>
      <c r="D220" s="29" t="str">
        <f t="shared" si="6"/>
        <v>#1</v>
      </c>
      <c r="E220" s="7">
        <f>Données!I37</f>
        <v>44076</v>
      </c>
      <c r="F220" s="6" t="str">
        <f>INDEX(Données!$F$2:$L$54,MATCH('#1'!E220,Données!$G$2:$G$54,1),1)</f>
        <v>36</v>
      </c>
      <c r="G220" s="18" t="str">
        <f t="shared" si="7"/>
        <v>PS-1</v>
      </c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1"/>
      <c r="W220" s="75"/>
      <c r="X220" s="75"/>
      <c r="Y220" s="75"/>
      <c r="Z220" s="96">
        <f>SUM(Tableau13[[#This Row],[A-1]:[G-5]])</f>
        <v>0</v>
      </c>
      <c r="AA220" s="96" t="str">
        <f>IF(AND(Z220&gt;0,Tableau13[[#This Row],[CDS]]=""),"Oui","Non")</f>
        <v>Non</v>
      </c>
      <c r="AB220" s="75"/>
      <c r="AC220" s="75"/>
      <c r="AD220" s="75"/>
      <c r="AE220" s="75"/>
      <c r="AF220" s="75"/>
      <c r="AG220" s="75"/>
      <c r="AH220" s="75"/>
      <c r="AI220" s="75"/>
      <c r="AJ220" s="81"/>
      <c r="AK220" s="75"/>
      <c r="AL220" s="75"/>
    </row>
    <row r="221" spans="1:38" ht="15.75" hidden="1" thickBot="1" x14ac:dyDescent="0.3">
      <c r="A221" s="75"/>
      <c r="B221" s="75"/>
      <c r="C221" s="35">
        <f>INDEX(Données!$F$2:$L$54,MATCH(F221,Données!$F$2:$F$54,0),2)</f>
        <v>44074</v>
      </c>
      <c r="D221" s="29" t="str">
        <f t="shared" si="6"/>
        <v>#1</v>
      </c>
      <c r="E221" s="7">
        <f>Données!J37</f>
        <v>44077</v>
      </c>
      <c r="F221" s="6" t="str">
        <f>INDEX(Données!$F$2:$L$54,MATCH('#1'!E221,Données!$G$2:$G$54,1),1)</f>
        <v>36</v>
      </c>
      <c r="G221" s="18" t="str">
        <f t="shared" si="7"/>
        <v>PS-1</v>
      </c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1"/>
      <c r="W221" s="75"/>
      <c r="X221" s="75"/>
      <c r="Y221" s="75"/>
      <c r="Z221" s="96">
        <f>SUM(Tableau13[[#This Row],[A-1]:[G-5]])</f>
        <v>0</v>
      </c>
      <c r="AA221" s="96" t="str">
        <f>IF(AND(Z221&gt;0,Tableau13[[#This Row],[CDS]]=""),"Oui","Non")</f>
        <v>Non</v>
      </c>
      <c r="AB221" s="75"/>
      <c r="AC221" s="75"/>
      <c r="AD221" s="75"/>
      <c r="AE221" s="75"/>
      <c r="AF221" s="75"/>
      <c r="AG221" s="75"/>
      <c r="AH221" s="75"/>
      <c r="AI221" s="75"/>
      <c r="AJ221" s="81"/>
      <c r="AK221" s="75"/>
      <c r="AL221" s="75"/>
    </row>
    <row r="222" spans="1:38" ht="15.75" hidden="1" thickBot="1" x14ac:dyDescent="0.3">
      <c r="A222" s="75"/>
      <c r="B222" s="75"/>
      <c r="C222" s="35">
        <f>INDEX(Données!$F$2:$L$54,MATCH(F222,Données!$F$2:$F$54,0),2)</f>
        <v>44074</v>
      </c>
      <c r="D222" s="29" t="str">
        <f t="shared" si="6"/>
        <v>#1</v>
      </c>
      <c r="E222" s="7">
        <f>Données!K37</f>
        <v>44078</v>
      </c>
      <c r="F222" s="6" t="str">
        <f>INDEX(Données!$F$2:$L$54,MATCH('#1'!E222,Données!$G$2:$G$54,1),1)</f>
        <v>36</v>
      </c>
      <c r="G222" s="18" t="str">
        <f t="shared" si="7"/>
        <v>PS-1</v>
      </c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1"/>
      <c r="W222" s="75"/>
      <c r="X222" s="75"/>
      <c r="Y222" s="75"/>
      <c r="Z222" s="96">
        <f>SUM(Tableau13[[#This Row],[A-1]:[G-5]])</f>
        <v>0</v>
      </c>
      <c r="AA222" s="96" t="str">
        <f>IF(AND(Z222&gt;0,Tableau13[[#This Row],[CDS]]=""),"Oui","Non")</f>
        <v>Non</v>
      </c>
      <c r="AB222" s="75"/>
      <c r="AC222" s="75"/>
      <c r="AD222" s="75"/>
      <c r="AE222" s="75"/>
      <c r="AF222" s="75"/>
      <c r="AG222" s="75"/>
      <c r="AH222" s="75"/>
      <c r="AI222" s="75"/>
      <c r="AJ222" s="81"/>
      <c r="AK222" s="75"/>
      <c r="AL222" s="75"/>
    </row>
    <row r="223" spans="1:38" ht="15.75" hidden="1" thickBot="1" x14ac:dyDescent="0.3">
      <c r="A223" s="75"/>
      <c r="B223" s="75"/>
      <c r="C223" s="35">
        <f>INDEX(Données!$F$2:$L$54,MATCH(F223,Données!$F$2:$F$54,0),2)</f>
        <v>44074</v>
      </c>
      <c r="D223" s="29" t="str">
        <f t="shared" si="6"/>
        <v>#1</v>
      </c>
      <c r="E223" s="7">
        <f>Données!L37</f>
        <v>44079</v>
      </c>
      <c r="F223" s="6" t="str">
        <f>INDEX(Données!$F$2:$L$54,MATCH('#1'!E223,Données!$G$2:$G$54,1),1)</f>
        <v>36</v>
      </c>
      <c r="G223" s="18" t="str">
        <f t="shared" si="7"/>
        <v>PS-1</v>
      </c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1"/>
      <c r="W223" s="75"/>
      <c r="X223" s="75"/>
      <c r="Y223" s="75"/>
      <c r="Z223" s="96">
        <f>SUM(Tableau13[[#This Row],[A-1]:[G-5]])</f>
        <v>0</v>
      </c>
      <c r="AA223" s="96" t="str">
        <f>IF(AND(Z223&gt;0,Tableau13[[#This Row],[CDS]]=""),"Oui","Non")</f>
        <v>Non</v>
      </c>
      <c r="AB223" s="75"/>
      <c r="AC223" s="75"/>
      <c r="AD223" s="75"/>
      <c r="AE223" s="75"/>
      <c r="AF223" s="75"/>
      <c r="AG223" s="75"/>
      <c r="AH223" s="75"/>
      <c r="AI223" s="75"/>
      <c r="AJ223" s="81"/>
      <c r="AK223" s="75"/>
      <c r="AL223" s="75"/>
    </row>
    <row r="224" spans="1:38" ht="15.75" hidden="1" thickBot="1" x14ac:dyDescent="0.3">
      <c r="A224" s="75"/>
      <c r="B224" s="75"/>
      <c r="C224" s="35">
        <f>INDEX(Données!$F$2:$L$54,MATCH(F224,Données!$F$2:$F$54,0),2)</f>
        <v>44081</v>
      </c>
      <c r="D224" s="29" t="str">
        <f t="shared" si="6"/>
        <v>#1</v>
      </c>
      <c r="E224" s="7">
        <f>Données!G38</f>
        <v>44081</v>
      </c>
      <c r="F224" s="6" t="str">
        <f>INDEX(Données!$F$2:$L$54,MATCH('#1'!E224,Données!$G$2:$G$54,1),1)</f>
        <v>37</v>
      </c>
      <c r="G224" s="18" t="str">
        <f t="shared" si="7"/>
        <v>PS-1</v>
      </c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1"/>
      <c r="W224" s="75"/>
      <c r="X224" s="75"/>
      <c r="Y224" s="75"/>
      <c r="Z224" s="96">
        <f>SUM(Tableau13[[#This Row],[A-1]:[G-5]])</f>
        <v>0</v>
      </c>
      <c r="AA224" s="96" t="str">
        <f>IF(AND(Z224&gt;0,Tableau13[[#This Row],[CDS]]=""),"Oui","Non")</f>
        <v>Non</v>
      </c>
      <c r="AB224" s="75"/>
      <c r="AC224" s="75"/>
      <c r="AD224" s="75"/>
      <c r="AE224" s="75"/>
      <c r="AF224" s="75"/>
      <c r="AG224" s="75"/>
      <c r="AH224" s="75"/>
      <c r="AI224" s="75"/>
      <c r="AJ224" s="81"/>
      <c r="AK224" s="75"/>
      <c r="AL224" s="75"/>
    </row>
    <row r="225" spans="1:38" ht="15.75" hidden="1" thickBot="1" x14ac:dyDescent="0.3">
      <c r="A225" s="75"/>
      <c r="B225" s="75"/>
      <c r="C225" s="35">
        <f>INDEX(Données!$F$2:$L$54,MATCH(F225,Données!$F$2:$F$54,0),2)</f>
        <v>44081</v>
      </c>
      <c r="D225" s="29" t="str">
        <f t="shared" si="6"/>
        <v>#1</v>
      </c>
      <c r="E225" s="7">
        <f>Données!H38</f>
        <v>44082</v>
      </c>
      <c r="F225" s="6" t="str">
        <f>INDEX(Données!$F$2:$L$54,MATCH('#1'!E225,Données!$G$2:$G$54,1),1)</f>
        <v>37</v>
      </c>
      <c r="G225" s="18" t="str">
        <f t="shared" si="7"/>
        <v>PS-1</v>
      </c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1"/>
      <c r="W225" s="75"/>
      <c r="X225" s="75"/>
      <c r="Y225" s="75"/>
      <c r="Z225" s="96">
        <f>SUM(Tableau13[[#This Row],[A-1]:[G-5]])</f>
        <v>0</v>
      </c>
      <c r="AA225" s="96" t="str">
        <f>IF(AND(Z225&gt;0,Tableau13[[#This Row],[CDS]]=""),"Oui","Non")</f>
        <v>Non</v>
      </c>
      <c r="AB225" s="75"/>
      <c r="AC225" s="75"/>
      <c r="AD225" s="75"/>
      <c r="AE225" s="75"/>
      <c r="AF225" s="75"/>
      <c r="AG225" s="75"/>
      <c r="AH225" s="75"/>
      <c r="AI225" s="75"/>
      <c r="AJ225" s="81"/>
      <c r="AK225" s="75"/>
      <c r="AL225" s="75"/>
    </row>
    <row r="226" spans="1:38" ht="15.75" hidden="1" thickBot="1" x14ac:dyDescent="0.3">
      <c r="A226" s="75"/>
      <c r="B226" s="75"/>
      <c r="C226" s="35">
        <f>INDEX(Données!$F$2:$L$54,MATCH(F226,Données!$F$2:$F$54,0),2)</f>
        <v>44081</v>
      </c>
      <c r="D226" s="29" t="str">
        <f t="shared" si="6"/>
        <v>#1</v>
      </c>
      <c r="E226" s="7">
        <f>Données!I38</f>
        <v>44083</v>
      </c>
      <c r="F226" s="6" t="str">
        <f>INDEX(Données!$F$2:$L$54,MATCH('#1'!E226,Données!$G$2:$G$54,1),1)</f>
        <v>37</v>
      </c>
      <c r="G226" s="18" t="str">
        <f t="shared" si="7"/>
        <v>PS-1</v>
      </c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1"/>
      <c r="W226" s="75"/>
      <c r="X226" s="75"/>
      <c r="Y226" s="75"/>
      <c r="Z226" s="96">
        <f>SUM(Tableau13[[#This Row],[A-1]:[G-5]])</f>
        <v>0</v>
      </c>
      <c r="AA226" s="96" t="str">
        <f>IF(AND(Z226&gt;0,Tableau13[[#This Row],[CDS]]=""),"Oui","Non")</f>
        <v>Non</v>
      </c>
      <c r="AB226" s="75"/>
      <c r="AC226" s="75"/>
      <c r="AD226" s="75"/>
      <c r="AE226" s="75"/>
      <c r="AF226" s="75"/>
      <c r="AG226" s="75"/>
      <c r="AH226" s="75"/>
      <c r="AI226" s="75"/>
      <c r="AJ226" s="81"/>
      <c r="AK226" s="75"/>
      <c r="AL226" s="75"/>
    </row>
    <row r="227" spans="1:38" ht="15.75" hidden="1" thickBot="1" x14ac:dyDescent="0.3">
      <c r="A227" s="75"/>
      <c r="B227" s="75"/>
      <c r="C227" s="35">
        <f>INDEX(Données!$F$2:$L$54,MATCH(F227,Données!$F$2:$F$54,0),2)</f>
        <v>44081</v>
      </c>
      <c r="D227" s="29" t="str">
        <f t="shared" si="6"/>
        <v>#1</v>
      </c>
      <c r="E227" s="7">
        <f>Données!J38</f>
        <v>44084</v>
      </c>
      <c r="F227" s="6" t="str">
        <f>INDEX(Données!$F$2:$L$54,MATCH('#1'!E227,Données!$G$2:$G$54,1),1)</f>
        <v>37</v>
      </c>
      <c r="G227" s="18" t="str">
        <f t="shared" si="7"/>
        <v>PS-1</v>
      </c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1"/>
      <c r="W227" s="75"/>
      <c r="X227" s="75"/>
      <c r="Y227" s="75"/>
      <c r="Z227" s="96">
        <f>SUM(Tableau13[[#This Row],[A-1]:[G-5]])</f>
        <v>0</v>
      </c>
      <c r="AA227" s="96" t="str">
        <f>IF(AND(Z227&gt;0,Tableau13[[#This Row],[CDS]]=""),"Oui","Non")</f>
        <v>Non</v>
      </c>
      <c r="AB227" s="75"/>
      <c r="AC227" s="75"/>
      <c r="AD227" s="75"/>
      <c r="AE227" s="75"/>
      <c r="AF227" s="75"/>
      <c r="AG227" s="75"/>
      <c r="AH227" s="75"/>
      <c r="AI227" s="75"/>
      <c r="AJ227" s="81"/>
      <c r="AK227" s="75"/>
      <c r="AL227" s="75"/>
    </row>
    <row r="228" spans="1:38" ht="15.75" hidden="1" thickBot="1" x14ac:dyDescent="0.3">
      <c r="A228" s="75"/>
      <c r="B228" s="75"/>
      <c r="C228" s="35">
        <f>INDEX(Données!$F$2:$L$54,MATCH(F228,Données!$F$2:$F$54,0),2)</f>
        <v>44081</v>
      </c>
      <c r="D228" s="29" t="str">
        <f t="shared" si="6"/>
        <v>#1</v>
      </c>
      <c r="E228" s="7">
        <f>Données!K38</f>
        <v>44085</v>
      </c>
      <c r="F228" s="6" t="str">
        <f>INDEX(Données!$F$2:$L$54,MATCH('#1'!E228,Données!$G$2:$G$54,1),1)</f>
        <v>37</v>
      </c>
      <c r="G228" s="18" t="str">
        <f t="shared" si="7"/>
        <v>PS-1</v>
      </c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1"/>
      <c r="W228" s="75"/>
      <c r="X228" s="75"/>
      <c r="Y228" s="75"/>
      <c r="Z228" s="96">
        <f>SUM(Tableau13[[#This Row],[A-1]:[G-5]])</f>
        <v>0</v>
      </c>
      <c r="AA228" s="96" t="str">
        <f>IF(AND(Z228&gt;0,Tableau13[[#This Row],[CDS]]=""),"Oui","Non")</f>
        <v>Non</v>
      </c>
      <c r="AB228" s="75"/>
      <c r="AC228" s="75"/>
      <c r="AD228" s="75"/>
      <c r="AE228" s="75"/>
      <c r="AF228" s="75"/>
      <c r="AG228" s="75"/>
      <c r="AH228" s="75"/>
      <c r="AI228" s="75"/>
      <c r="AJ228" s="81"/>
      <c r="AK228" s="75"/>
      <c r="AL228" s="75"/>
    </row>
    <row r="229" spans="1:38" ht="15.75" hidden="1" thickBot="1" x14ac:dyDescent="0.3">
      <c r="A229" s="75"/>
      <c r="B229" s="75"/>
      <c r="C229" s="35">
        <f>INDEX(Données!$F$2:$L$54,MATCH(F229,Données!$F$2:$F$54,0),2)</f>
        <v>44081</v>
      </c>
      <c r="D229" s="29" t="str">
        <f t="shared" si="6"/>
        <v>#1</v>
      </c>
      <c r="E229" s="7">
        <f>Données!L38</f>
        <v>44086</v>
      </c>
      <c r="F229" s="6" t="str">
        <f>INDEX(Données!$F$2:$L$54,MATCH('#1'!E229,Données!$G$2:$G$54,1),1)</f>
        <v>37</v>
      </c>
      <c r="G229" s="18" t="str">
        <f t="shared" si="7"/>
        <v>PS-1</v>
      </c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1"/>
      <c r="W229" s="75"/>
      <c r="X229" s="75"/>
      <c r="Y229" s="75"/>
      <c r="Z229" s="96">
        <f>SUM(Tableau13[[#This Row],[A-1]:[G-5]])</f>
        <v>0</v>
      </c>
      <c r="AA229" s="96" t="str">
        <f>IF(AND(Z229&gt;0,Tableau13[[#This Row],[CDS]]=""),"Oui","Non")</f>
        <v>Non</v>
      </c>
      <c r="AB229" s="75"/>
      <c r="AC229" s="75"/>
      <c r="AD229" s="75"/>
      <c r="AE229" s="75"/>
      <c r="AF229" s="75"/>
      <c r="AG229" s="75"/>
      <c r="AH229" s="75"/>
      <c r="AI229" s="75"/>
      <c r="AJ229" s="81"/>
      <c r="AK229" s="75"/>
      <c r="AL229" s="75"/>
    </row>
    <row r="230" spans="1:38" ht="15.75" hidden="1" thickBot="1" x14ac:dyDescent="0.3">
      <c r="A230" s="75"/>
      <c r="B230" s="75"/>
      <c r="C230" s="35">
        <f>INDEX(Données!$F$2:$L$54,MATCH(F230,Données!$F$2:$F$54,0),2)</f>
        <v>44088</v>
      </c>
      <c r="D230" s="29" t="str">
        <f t="shared" si="6"/>
        <v>#1</v>
      </c>
      <c r="E230" s="7">
        <f>Données!G39</f>
        <v>44088</v>
      </c>
      <c r="F230" s="6" t="str">
        <f>INDEX(Données!$F$2:$L$54,MATCH('#1'!E230,Données!$G$2:$G$54,1),1)</f>
        <v>38</v>
      </c>
      <c r="G230" s="18" t="str">
        <f t="shared" si="7"/>
        <v>PS-1</v>
      </c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1"/>
      <c r="W230" s="75"/>
      <c r="X230" s="75"/>
      <c r="Y230" s="75"/>
      <c r="Z230" s="96">
        <f>SUM(Tableau13[[#This Row],[A-1]:[G-5]])</f>
        <v>0</v>
      </c>
      <c r="AA230" s="96" t="str">
        <f>IF(AND(Z230&gt;0,Tableau13[[#This Row],[CDS]]=""),"Oui","Non")</f>
        <v>Non</v>
      </c>
      <c r="AB230" s="75"/>
      <c r="AC230" s="75"/>
      <c r="AD230" s="75"/>
      <c r="AE230" s="75"/>
      <c r="AF230" s="75"/>
      <c r="AG230" s="75"/>
      <c r="AH230" s="75"/>
      <c r="AI230" s="75"/>
      <c r="AJ230" s="81"/>
      <c r="AK230" s="75"/>
      <c r="AL230" s="75"/>
    </row>
    <row r="231" spans="1:38" ht="15.75" hidden="1" thickBot="1" x14ac:dyDescent="0.3">
      <c r="A231" s="75"/>
      <c r="B231" s="75"/>
      <c r="C231" s="35">
        <f>INDEX(Données!$F$2:$L$54,MATCH(F231,Données!$F$2:$F$54,0),2)</f>
        <v>44088</v>
      </c>
      <c r="D231" s="29" t="str">
        <f t="shared" si="6"/>
        <v>#1</v>
      </c>
      <c r="E231" s="7">
        <f>Données!H39</f>
        <v>44089</v>
      </c>
      <c r="F231" s="6" t="str">
        <f>INDEX(Données!$F$2:$L$54,MATCH('#1'!E231,Données!$G$2:$G$54,1),1)</f>
        <v>38</v>
      </c>
      <c r="G231" s="18" t="str">
        <f t="shared" si="7"/>
        <v>PS-1</v>
      </c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1"/>
      <c r="W231" s="75"/>
      <c r="X231" s="75"/>
      <c r="Y231" s="75"/>
      <c r="Z231" s="96">
        <f>SUM(Tableau13[[#This Row],[A-1]:[G-5]])</f>
        <v>0</v>
      </c>
      <c r="AA231" s="96" t="str">
        <f>IF(AND(Z231&gt;0,Tableau13[[#This Row],[CDS]]=""),"Oui","Non")</f>
        <v>Non</v>
      </c>
      <c r="AB231" s="75"/>
      <c r="AC231" s="75"/>
      <c r="AD231" s="75"/>
      <c r="AE231" s="75"/>
      <c r="AF231" s="75"/>
      <c r="AG231" s="75"/>
      <c r="AH231" s="75"/>
      <c r="AI231" s="75"/>
      <c r="AJ231" s="81"/>
      <c r="AK231" s="75"/>
      <c r="AL231" s="75"/>
    </row>
    <row r="232" spans="1:38" ht="15.75" hidden="1" thickBot="1" x14ac:dyDescent="0.3">
      <c r="A232" s="75"/>
      <c r="B232" s="75"/>
      <c r="C232" s="35">
        <f>INDEX(Données!$F$2:$L$54,MATCH(F232,Données!$F$2:$F$54,0),2)</f>
        <v>44088</v>
      </c>
      <c r="D232" s="29" t="str">
        <f t="shared" si="6"/>
        <v>#1</v>
      </c>
      <c r="E232" s="7">
        <f>Données!I39</f>
        <v>44090</v>
      </c>
      <c r="F232" s="6" t="str">
        <f>INDEX(Données!$F$2:$L$54,MATCH('#1'!E232,Données!$G$2:$G$54,1),1)</f>
        <v>38</v>
      </c>
      <c r="G232" s="18" t="str">
        <f t="shared" si="7"/>
        <v>PS-1</v>
      </c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1"/>
      <c r="W232" s="75"/>
      <c r="X232" s="75"/>
      <c r="Y232" s="75"/>
      <c r="Z232" s="96">
        <f>SUM(Tableau13[[#This Row],[A-1]:[G-5]])</f>
        <v>0</v>
      </c>
      <c r="AA232" s="96" t="str">
        <f>IF(AND(Z232&gt;0,Tableau13[[#This Row],[CDS]]=""),"Oui","Non")</f>
        <v>Non</v>
      </c>
      <c r="AB232" s="75"/>
      <c r="AC232" s="75"/>
      <c r="AD232" s="75"/>
      <c r="AE232" s="75"/>
      <c r="AF232" s="75"/>
      <c r="AG232" s="75"/>
      <c r="AH232" s="75"/>
      <c r="AI232" s="75"/>
      <c r="AJ232" s="81"/>
      <c r="AK232" s="75"/>
      <c r="AL232" s="75"/>
    </row>
    <row r="233" spans="1:38" ht="15.75" hidden="1" thickBot="1" x14ac:dyDescent="0.3">
      <c r="A233" s="75"/>
      <c r="B233" s="75"/>
      <c r="C233" s="35">
        <f>INDEX(Données!$F$2:$L$54,MATCH(F233,Données!$F$2:$F$54,0),2)</f>
        <v>44088</v>
      </c>
      <c r="D233" s="29" t="str">
        <f t="shared" si="6"/>
        <v>#1</v>
      </c>
      <c r="E233" s="7">
        <f>Données!J39</f>
        <v>44091</v>
      </c>
      <c r="F233" s="6" t="str">
        <f>INDEX(Données!$F$2:$L$54,MATCH('#1'!E233,Données!$G$2:$G$54,1),1)</f>
        <v>38</v>
      </c>
      <c r="G233" s="18" t="str">
        <f t="shared" si="7"/>
        <v>PS-1</v>
      </c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1"/>
      <c r="W233" s="75"/>
      <c r="X233" s="75"/>
      <c r="Y233" s="75"/>
      <c r="Z233" s="96">
        <f>SUM(Tableau13[[#This Row],[A-1]:[G-5]])</f>
        <v>0</v>
      </c>
      <c r="AA233" s="96" t="str">
        <f>IF(AND(Z233&gt;0,Tableau13[[#This Row],[CDS]]=""),"Oui","Non")</f>
        <v>Non</v>
      </c>
      <c r="AB233" s="75"/>
      <c r="AC233" s="75"/>
      <c r="AD233" s="75"/>
      <c r="AE233" s="75"/>
      <c r="AF233" s="75"/>
      <c r="AG233" s="75"/>
      <c r="AH233" s="75"/>
      <c r="AI233" s="75"/>
      <c r="AJ233" s="81"/>
      <c r="AK233" s="75"/>
      <c r="AL233" s="75"/>
    </row>
    <row r="234" spans="1:38" ht="15.75" hidden="1" thickBot="1" x14ac:dyDescent="0.3">
      <c r="A234" s="75"/>
      <c r="B234" s="75"/>
      <c r="C234" s="35">
        <f>INDEX(Données!$F$2:$L$54,MATCH(F234,Données!$F$2:$F$54,0),2)</f>
        <v>44088</v>
      </c>
      <c r="D234" s="29" t="str">
        <f t="shared" si="6"/>
        <v>#1</v>
      </c>
      <c r="E234" s="7">
        <f>Données!K39</f>
        <v>44092</v>
      </c>
      <c r="F234" s="6" t="str">
        <f>INDEX(Données!$F$2:$L$54,MATCH('#1'!E234,Données!$G$2:$G$54,1),1)</f>
        <v>38</v>
      </c>
      <c r="G234" s="18" t="str">
        <f t="shared" si="7"/>
        <v>PS-1</v>
      </c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1"/>
      <c r="W234" s="75"/>
      <c r="X234" s="75"/>
      <c r="Y234" s="75"/>
      <c r="Z234" s="96">
        <f>SUM(Tableau13[[#This Row],[A-1]:[G-5]])</f>
        <v>0</v>
      </c>
      <c r="AA234" s="96" t="str">
        <f>IF(AND(Z234&gt;0,Tableau13[[#This Row],[CDS]]=""),"Oui","Non")</f>
        <v>Non</v>
      </c>
      <c r="AB234" s="75"/>
      <c r="AC234" s="75"/>
      <c r="AD234" s="75"/>
      <c r="AE234" s="75"/>
      <c r="AF234" s="75"/>
      <c r="AG234" s="75"/>
      <c r="AH234" s="75"/>
      <c r="AI234" s="75"/>
      <c r="AJ234" s="81"/>
      <c r="AK234" s="75"/>
      <c r="AL234" s="75"/>
    </row>
    <row r="235" spans="1:38" ht="15.75" hidden="1" thickBot="1" x14ac:dyDescent="0.3">
      <c r="A235" s="75"/>
      <c r="B235" s="75"/>
      <c r="C235" s="35">
        <f>INDEX(Données!$F$2:$L$54,MATCH(F235,Données!$F$2:$F$54,0),2)</f>
        <v>44088</v>
      </c>
      <c r="D235" s="29" t="str">
        <f t="shared" si="6"/>
        <v>#1</v>
      </c>
      <c r="E235" s="7">
        <f>Données!L39</f>
        <v>44093</v>
      </c>
      <c r="F235" s="6" t="str">
        <f>INDEX(Données!$F$2:$L$54,MATCH('#1'!E235,Données!$G$2:$G$54,1),1)</f>
        <v>38</v>
      </c>
      <c r="G235" s="18" t="str">
        <f t="shared" si="7"/>
        <v>PS-1</v>
      </c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1"/>
      <c r="W235" s="75"/>
      <c r="X235" s="75"/>
      <c r="Y235" s="75"/>
      <c r="Z235" s="96">
        <f>SUM(Tableau13[[#This Row],[A-1]:[G-5]])</f>
        <v>0</v>
      </c>
      <c r="AA235" s="96" t="str">
        <f>IF(AND(Z235&gt;0,Tableau13[[#This Row],[CDS]]=""),"Oui","Non")</f>
        <v>Non</v>
      </c>
      <c r="AB235" s="75"/>
      <c r="AC235" s="75"/>
      <c r="AD235" s="75"/>
      <c r="AE235" s="75"/>
      <c r="AF235" s="75"/>
      <c r="AG235" s="75"/>
      <c r="AH235" s="75"/>
      <c r="AI235" s="75"/>
      <c r="AJ235" s="81"/>
      <c r="AK235" s="75"/>
      <c r="AL235" s="75"/>
    </row>
    <row r="236" spans="1:38" ht="15.75" hidden="1" thickBot="1" x14ac:dyDescent="0.3">
      <c r="A236" s="75"/>
      <c r="B236" s="75"/>
      <c r="C236" s="35">
        <f>INDEX(Données!$F$2:$L$54,MATCH(F236,Données!$F$2:$F$54,0),2)</f>
        <v>44095</v>
      </c>
      <c r="D236" s="29" t="str">
        <f t="shared" si="6"/>
        <v>#1</v>
      </c>
      <c r="E236" s="7">
        <f>Données!G40</f>
        <v>44095</v>
      </c>
      <c r="F236" s="6" t="str">
        <f>INDEX(Données!$F$2:$L$54,MATCH('#1'!E236,Données!$G$2:$G$54,1),1)</f>
        <v>39</v>
      </c>
      <c r="G236" s="18" t="str">
        <f t="shared" si="7"/>
        <v>PS-1</v>
      </c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1"/>
      <c r="W236" s="75"/>
      <c r="X236" s="75"/>
      <c r="Y236" s="75"/>
      <c r="Z236" s="96">
        <f>SUM(Tableau13[[#This Row],[A-1]:[G-5]])</f>
        <v>0</v>
      </c>
      <c r="AA236" s="96" t="str">
        <f>IF(AND(Z236&gt;0,Tableau13[[#This Row],[CDS]]=""),"Oui","Non")</f>
        <v>Non</v>
      </c>
      <c r="AB236" s="75"/>
      <c r="AC236" s="75"/>
      <c r="AD236" s="75"/>
      <c r="AE236" s="75"/>
      <c r="AF236" s="75"/>
      <c r="AG236" s="75"/>
      <c r="AH236" s="75"/>
      <c r="AI236" s="75"/>
      <c r="AJ236" s="81"/>
      <c r="AK236" s="75"/>
      <c r="AL236" s="75"/>
    </row>
    <row r="237" spans="1:38" ht="15.75" hidden="1" thickBot="1" x14ac:dyDescent="0.3">
      <c r="A237" s="75"/>
      <c r="B237" s="75"/>
      <c r="C237" s="35">
        <f>INDEX(Données!$F$2:$L$54,MATCH(F237,Données!$F$2:$F$54,0),2)</f>
        <v>44095</v>
      </c>
      <c r="D237" s="29" t="str">
        <f t="shared" si="6"/>
        <v>#1</v>
      </c>
      <c r="E237" s="7">
        <f>Données!H40</f>
        <v>44096</v>
      </c>
      <c r="F237" s="6" t="str">
        <f>INDEX(Données!$F$2:$L$54,MATCH('#1'!E237,Données!$G$2:$G$54,1),1)</f>
        <v>39</v>
      </c>
      <c r="G237" s="18" t="str">
        <f t="shared" si="7"/>
        <v>PS-1</v>
      </c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1"/>
      <c r="W237" s="75"/>
      <c r="X237" s="75"/>
      <c r="Y237" s="75"/>
      <c r="Z237" s="96">
        <f>SUM(Tableau13[[#This Row],[A-1]:[G-5]])</f>
        <v>0</v>
      </c>
      <c r="AA237" s="96" t="str">
        <f>IF(AND(Z237&gt;0,Tableau13[[#This Row],[CDS]]=""),"Oui","Non")</f>
        <v>Non</v>
      </c>
      <c r="AB237" s="75"/>
      <c r="AC237" s="75"/>
      <c r="AD237" s="75"/>
      <c r="AE237" s="75"/>
      <c r="AF237" s="75"/>
      <c r="AG237" s="75"/>
      <c r="AH237" s="75"/>
      <c r="AI237" s="75"/>
      <c r="AJ237" s="81"/>
      <c r="AK237" s="75"/>
      <c r="AL237" s="75"/>
    </row>
    <row r="238" spans="1:38" ht="15.75" hidden="1" thickBot="1" x14ac:dyDescent="0.3">
      <c r="A238" s="75"/>
      <c r="B238" s="75"/>
      <c r="C238" s="35">
        <f>INDEX(Données!$F$2:$L$54,MATCH(F238,Données!$F$2:$F$54,0),2)</f>
        <v>44095</v>
      </c>
      <c r="D238" s="29" t="str">
        <f t="shared" si="6"/>
        <v>#1</v>
      </c>
      <c r="E238" s="7">
        <f>Données!I40</f>
        <v>44097</v>
      </c>
      <c r="F238" s="6" t="str">
        <f>INDEX(Données!$F$2:$L$54,MATCH('#1'!E238,Données!$G$2:$G$54,1),1)</f>
        <v>39</v>
      </c>
      <c r="G238" s="18" t="str">
        <f t="shared" si="7"/>
        <v>PS-1</v>
      </c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1"/>
      <c r="W238" s="75"/>
      <c r="X238" s="75"/>
      <c r="Y238" s="75"/>
      <c r="Z238" s="96">
        <f>SUM(Tableau13[[#This Row],[A-1]:[G-5]])</f>
        <v>0</v>
      </c>
      <c r="AA238" s="96" t="str">
        <f>IF(AND(Z238&gt;0,Tableau13[[#This Row],[CDS]]=""),"Oui","Non")</f>
        <v>Non</v>
      </c>
      <c r="AB238" s="75"/>
      <c r="AC238" s="75"/>
      <c r="AD238" s="75"/>
      <c r="AE238" s="75"/>
      <c r="AF238" s="75"/>
      <c r="AG238" s="75"/>
      <c r="AH238" s="75"/>
      <c r="AI238" s="75"/>
      <c r="AJ238" s="81"/>
      <c r="AK238" s="75"/>
      <c r="AL238" s="75"/>
    </row>
    <row r="239" spans="1:38" ht="15.75" hidden="1" thickBot="1" x14ac:dyDescent="0.3">
      <c r="A239" s="75"/>
      <c r="B239" s="75"/>
      <c r="C239" s="35">
        <f>INDEX(Données!$F$2:$L$54,MATCH(F239,Données!$F$2:$F$54,0),2)</f>
        <v>44095</v>
      </c>
      <c r="D239" s="29" t="str">
        <f t="shared" si="6"/>
        <v>#1</v>
      </c>
      <c r="E239" s="7">
        <f>Données!J40</f>
        <v>44098</v>
      </c>
      <c r="F239" s="6" t="str">
        <f>INDEX(Données!$F$2:$L$54,MATCH('#1'!E239,Données!$G$2:$G$54,1),1)</f>
        <v>39</v>
      </c>
      <c r="G239" s="18" t="str">
        <f t="shared" si="7"/>
        <v>PS-1</v>
      </c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1"/>
      <c r="W239" s="75"/>
      <c r="X239" s="75"/>
      <c r="Y239" s="75"/>
      <c r="Z239" s="96">
        <f>SUM(Tableau13[[#This Row],[A-1]:[G-5]])</f>
        <v>0</v>
      </c>
      <c r="AA239" s="96" t="str">
        <f>IF(AND(Z239&gt;0,Tableau13[[#This Row],[CDS]]=""),"Oui","Non")</f>
        <v>Non</v>
      </c>
      <c r="AB239" s="75"/>
      <c r="AC239" s="75"/>
      <c r="AD239" s="75"/>
      <c r="AE239" s="75"/>
      <c r="AF239" s="75"/>
      <c r="AG239" s="75"/>
      <c r="AH239" s="75"/>
      <c r="AI239" s="75"/>
      <c r="AJ239" s="81"/>
      <c r="AK239" s="75"/>
      <c r="AL239" s="75"/>
    </row>
    <row r="240" spans="1:38" ht="15.75" hidden="1" thickBot="1" x14ac:dyDescent="0.3">
      <c r="A240" s="75"/>
      <c r="B240" s="75"/>
      <c r="C240" s="35">
        <f>INDEX(Données!$F$2:$L$54,MATCH(F240,Données!$F$2:$F$54,0),2)</f>
        <v>44095</v>
      </c>
      <c r="D240" s="29" t="str">
        <f t="shared" si="6"/>
        <v>#1</v>
      </c>
      <c r="E240" s="7">
        <f>Données!K40</f>
        <v>44099</v>
      </c>
      <c r="F240" s="6" t="str">
        <f>INDEX(Données!$F$2:$L$54,MATCH('#1'!E240,Données!$G$2:$G$54,1),1)</f>
        <v>39</v>
      </c>
      <c r="G240" s="18" t="str">
        <f t="shared" si="7"/>
        <v>PS-1</v>
      </c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1"/>
      <c r="W240" s="75"/>
      <c r="X240" s="75"/>
      <c r="Y240" s="75"/>
      <c r="Z240" s="96">
        <f>SUM(Tableau13[[#This Row],[A-1]:[G-5]])</f>
        <v>0</v>
      </c>
      <c r="AA240" s="96" t="str">
        <f>IF(AND(Z240&gt;0,Tableau13[[#This Row],[CDS]]=""),"Oui","Non")</f>
        <v>Non</v>
      </c>
      <c r="AB240" s="75"/>
      <c r="AC240" s="75"/>
      <c r="AD240" s="75"/>
      <c r="AE240" s="75"/>
      <c r="AF240" s="75"/>
      <c r="AG240" s="75"/>
      <c r="AH240" s="75"/>
      <c r="AI240" s="75"/>
      <c r="AJ240" s="81"/>
      <c r="AK240" s="75"/>
      <c r="AL240" s="75"/>
    </row>
    <row r="241" spans="1:38" ht="15.75" hidden="1" thickBot="1" x14ac:dyDescent="0.3">
      <c r="A241" s="75"/>
      <c r="B241" s="75"/>
      <c r="C241" s="35">
        <f>INDEX(Données!$F$2:$L$54,MATCH(F241,Données!$F$2:$F$54,0),2)</f>
        <v>44095</v>
      </c>
      <c r="D241" s="29" t="str">
        <f t="shared" si="6"/>
        <v>#1</v>
      </c>
      <c r="E241" s="7">
        <f>Données!L40</f>
        <v>44100</v>
      </c>
      <c r="F241" s="6" t="str">
        <f>INDEX(Données!$F$2:$L$54,MATCH('#1'!E241,Données!$G$2:$G$54,1),1)</f>
        <v>39</v>
      </c>
      <c r="G241" s="18" t="str">
        <f t="shared" si="7"/>
        <v>PS-1</v>
      </c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1"/>
      <c r="W241" s="75"/>
      <c r="X241" s="75"/>
      <c r="Y241" s="75"/>
      <c r="Z241" s="96">
        <f>SUM(Tableau13[[#This Row],[A-1]:[G-5]])</f>
        <v>0</v>
      </c>
      <c r="AA241" s="96" t="str">
        <f>IF(AND(Z241&gt;0,Tableau13[[#This Row],[CDS]]=""),"Oui","Non")</f>
        <v>Non</v>
      </c>
      <c r="AB241" s="75"/>
      <c r="AC241" s="75"/>
      <c r="AD241" s="75"/>
      <c r="AE241" s="75"/>
      <c r="AF241" s="75"/>
      <c r="AG241" s="75"/>
      <c r="AH241" s="75"/>
      <c r="AI241" s="75"/>
      <c r="AJ241" s="81"/>
      <c r="AK241" s="75"/>
      <c r="AL241" s="75"/>
    </row>
    <row r="242" spans="1:38" ht="15.75" hidden="1" thickBot="1" x14ac:dyDescent="0.3">
      <c r="A242" s="75"/>
      <c r="B242" s="75"/>
      <c r="C242" s="35">
        <f>INDEX(Données!$F$2:$L$54,MATCH(F242,Données!$F$2:$F$54,0),2)</f>
        <v>44102</v>
      </c>
      <c r="D242" s="29" t="str">
        <f t="shared" si="6"/>
        <v>#1</v>
      </c>
      <c r="E242" s="7">
        <f>Données!G41</f>
        <v>44102</v>
      </c>
      <c r="F242" s="6" t="str">
        <f>INDEX(Données!$F$2:$L$54,MATCH('#1'!E242,Données!$G$2:$G$54,1),1)</f>
        <v>40</v>
      </c>
      <c r="G242" s="18" t="str">
        <f t="shared" si="7"/>
        <v>PS-1</v>
      </c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1"/>
      <c r="W242" s="75"/>
      <c r="X242" s="75"/>
      <c r="Y242" s="75"/>
      <c r="Z242" s="96">
        <f>SUM(Tableau13[[#This Row],[A-1]:[G-5]])</f>
        <v>0</v>
      </c>
      <c r="AA242" s="96" t="str">
        <f>IF(AND(Z242&gt;0,Tableau13[[#This Row],[CDS]]=""),"Oui","Non")</f>
        <v>Non</v>
      </c>
      <c r="AB242" s="75"/>
      <c r="AC242" s="75"/>
      <c r="AD242" s="75"/>
      <c r="AE242" s="75"/>
      <c r="AF242" s="75"/>
      <c r="AG242" s="75"/>
      <c r="AH242" s="75"/>
      <c r="AI242" s="75"/>
      <c r="AJ242" s="81"/>
      <c r="AK242" s="75"/>
      <c r="AL242" s="75"/>
    </row>
    <row r="243" spans="1:38" ht="15.75" hidden="1" thickBot="1" x14ac:dyDescent="0.3">
      <c r="A243" s="75"/>
      <c r="B243" s="75"/>
      <c r="C243" s="35">
        <f>INDEX(Données!$F$2:$L$54,MATCH(F243,Données!$F$2:$F$54,0),2)</f>
        <v>44102</v>
      </c>
      <c r="D243" s="29" t="str">
        <f t="shared" si="6"/>
        <v>#1</v>
      </c>
      <c r="E243" s="7">
        <f>Données!H41</f>
        <v>44103</v>
      </c>
      <c r="F243" s="6" t="str">
        <f>INDEX(Données!$F$2:$L$54,MATCH('#1'!E243,Données!$G$2:$G$54,1),1)</f>
        <v>40</v>
      </c>
      <c r="G243" s="18" t="str">
        <f t="shared" si="7"/>
        <v>PS-1</v>
      </c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1"/>
      <c r="W243" s="75"/>
      <c r="X243" s="75"/>
      <c r="Y243" s="75"/>
      <c r="Z243" s="96">
        <f>SUM(Tableau13[[#This Row],[A-1]:[G-5]])</f>
        <v>0</v>
      </c>
      <c r="AA243" s="96" t="str">
        <f>IF(AND(Z243&gt;0,Tableau13[[#This Row],[CDS]]=""),"Oui","Non")</f>
        <v>Non</v>
      </c>
      <c r="AB243" s="75"/>
      <c r="AC243" s="75"/>
      <c r="AD243" s="75"/>
      <c r="AE243" s="75"/>
      <c r="AF243" s="75"/>
      <c r="AG243" s="75"/>
      <c r="AH243" s="75"/>
      <c r="AI243" s="75"/>
      <c r="AJ243" s="81"/>
      <c r="AK243" s="75"/>
      <c r="AL243" s="75"/>
    </row>
    <row r="244" spans="1:38" ht="15.75" hidden="1" thickBot="1" x14ac:dyDescent="0.3">
      <c r="A244" s="75"/>
      <c r="B244" s="75"/>
      <c r="C244" s="35">
        <f>INDEX(Données!$F$2:$L$54,MATCH(F244,Données!$F$2:$F$54,0),2)</f>
        <v>44102</v>
      </c>
      <c r="D244" s="29" t="str">
        <f t="shared" si="6"/>
        <v>#1</v>
      </c>
      <c r="E244" s="7">
        <f>Données!I41</f>
        <v>44104</v>
      </c>
      <c r="F244" s="6" t="str">
        <f>INDEX(Données!$F$2:$L$54,MATCH('#1'!E244,Données!$G$2:$G$54,1),1)</f>
        <v>40</v>
      </c>
      <c r="G244" s="18" t="str">
        <f t="shared" si="7"/>
        <v>PS-1</v>
      </c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1"/>
      <c r="W244" s="75"/>
      <c r="X244" s="75"/>
      <c r="Y244" s="75"/>
      <c r="Z244" s="96">
        <f>SUM(Tableau13[[#This Row],[A-1]:[G-5]])</f>
        <v>0</v>
      </c>
      <c r="AA244" s="96" t="str">
        <f>IF(AND(Z244&gt;0,Tableau13[[#This Row],[CDS]]=""),"Oui","Non")</f>
        <v>Non</v>
      </c>
      <c r="AB244" s="75"/>
      <c r="AC244" s="75"/>
      <c r="AD244" s="75"/>
      <c r="AE244" s="75"/>
      <c r="AF244" s="75"/>
      <c r="AG244" s="75"/>
      <c r="AH244" s="75"/>
      <c r="AI244" s="75"/>
      <c r="AJ244" s="81"/>
      <c r="AK244" s="75"/>
      <c r="AL244" s="75"/>
    </row>
    <row r="245" spans="1:38" ht="15.75" hidden="1" thickBot="1" x14ac:dyDescent="0.3">
      <c r="A245" s="75"/>
      <c r="B245" s="75"/>
      <c r="C245" s="35">
        <f>INDEX(Données!$F$2:$L$54,MATCH(F245,Données!$F$2:$F$54,0),2)</f>
        <v>44102</v>
      </c>
      <c r="D245" s="29" t="str">
        <f t="shared" si="6"/>
        <v>#1</v>
      </c>
      <c r="E245" s="7">
        <f>Données!J41</f>
        <v>44105</v>
      </c>
      <c r="F245" s="6" t="str">
        <f>INDEX(Données!$F$2:$L$54,MATCH('#1'!E245,Données!$G$2:$G$54,1),1)</f>
        <v>40</v>
      </c>
      <c r="G245" s="18" t="str">
        <f t="shared" si="7"/>
        <v>PS-1</v>
      </c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1"/>
      <c r="W245" s="75"/>
      <c r="X245" s="75"/>
      <c r="Y245" s="75"/>
      <c r="Z245" s="96">
        <f>SUM(Tableau13[[#This Row],[A-1]:[G-5]])</f>
        <v>0</v>
      </c>
      <c r="AA245" s="96" t="str">
        <f>IF(AND(Z245&gt;0,Tableau13[[#This Row],[CDS]]=""),"Oui","Non")</f>
        <v>Non</v>
      </c>
      <c r="AB245" s="75"/>
      <c r="AC245" s="75"/>
      <c r="AD245" s="75"/>
      <c r="AE245" s="75"/>
      <c r="AF245" s="75"/>
      <c r="AG245" s="75"/>
      <c r="AH245" s="75"/>
      <c r="AI245" s="75"/>
      <c r="AJ245" s="81"/>
      <c r="AK245" s="75"/>
      <c r="AL245" s="75"/>
    </row>
    <row r="246" spans="1:38" ht="15.75" hidden="1" thickBot="1" x14ac:dyDescent="0.3">
      <c r="A246" s="75"/>
      <c r="B246" s="75"/>
      <c r="C246" s="35">
        <f>INDEX(Données!$F$2:$L$54,MATCH(F246,Données!$F$2:$F$54,0),2)</f>
        <v>44102</v>
      </c>
      <c r="D246" s="29" t="str">
        <f t="shared" si="6"/>
        <v>#1</v>
      </c>
      <c r="E246" s="7">
        <f>Données!K41</f>
        <v>44106</v>
      </c>
      <c r="F246" s="6" t="str">
        <f>INDEX(Données!$F$2:$L$54,MATCH('#1'!E246,Données!$G$2:$G$54,1),1)</f>
        <v>40</v>
      </c>
      <c r="G246" s="18" t="str">
        <f t="shared" si="7"/>
        <v>PS-1</v>
      </c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1"/>
      <c r="W246" s="75"/>
      <c r="X246" s="75"/>
      <c r="Y246" s="75"/>
      <c r="Z246" s="96">
        <f>SUM(Tableau13[[#This Row],[A-1]:[G-5]])</f>
        <v>0</v>
      </c>
      <c r="AA246" s="96" t="str">
        <f>IF(AND(Z246&gt;0,Tableau13[[#This Row],[CDS]]=""),"Oui","Non")</f>
        <v>Non</v>
      </c>
      <c r="AB246" s="75"/>
      <c r="AC246" s="75"/>
      <c r="AD246" s="75"/>
      <c r="AE246" s="75"/>
      <c r="AF246" s="75"/>
      <c r="AG246" s="75"/>
      <c r="AH246" s="75"/>
      <c r="AI246" s="75"/>
      <c r="AJ246" s="81"/>
      <c r="AK246" s="75"/>
      <c r="AL246" s="75"/>
    </row>
    <row r="247" spans="1:38" ht="15.75" hidden="1" thickBot="1" x14ac:dyDescent="0.3">
      <c r="A247" s="75"/>
      <c r="B247" s="75"/>
      <c r="C247" s="35">
        <f>INDEX(Données!$F$2:$L$54,MATCH(F247,Données!$F$2:$F$54,0),2)</f>
        <v>44102</v>
      </c>
      <c r="D247" s="29" t="str">
        <f t="shared" si="6"/>
        <v>#1</v>
      </c>
      <c r="E247" s="7">
        <f>Données!L41</f>
        <v>44107</v>
      </c>
      <c r="F247" s="6" t="str">
        <f>INDEX(Données!$F$2:$L$54,MATCH('#1'!E247,Données!$G$2:$G$54,1),1)</f>
        <v>40</v>
      </c>
      <c r="G247" s="18" t="str">
        <f t="shared" si="7"/>
        <v>PS-1</v>
      </c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1"/>
      <c r="W247" s="75"/>
      <c r="X247" s="75"/>
      <c r="Y247" s="75"/>
      <c r="Z247" s="96">
        <f>SUM(Tableau13[[#This Row],[A-1]:[G-5]])</f>
        <v>0</v>
      </c>
      <c r="AA247" s="96" t="str">
        <f>IF(AND(Z247&gt;0,Tableau13[[#This Row],[CDS]]=""),"Oui","Non")</f>
        <v>Non</v>
      </c>
      <c r="AB247" s="75"/>
      <c r="AC247" s="75"/>
      <c r="AD247" s="75"/>
      <c r="AE247" s="75"/>
      <c r="AF247" s="75"/>
      <c r="AG247" s="75"/>
      <c r="AH247" s="75"/>
      <c r="AI247" s="75"/>
      <c r="AJ247" s="81"/>
      <c r="AK247" s="75"/>
      <c r="AL247" s="75"/>
    </row>
    <row r="248" spans="1:38" ht="15.75" hidden="1" thickBot="1" x14ac:dyDescent="0.3">
      <c r="A248" s="75"/>
      <c r="B248" s="75"/>
      <c r="C248" s="35">
        <f>INDEX(Données!$F$2:$L$54,MATCH(F248,Données!$F$2:$F$54,0),2)</f>
        <v>44109</v>
      </c>
      <c r="D248" s="29" t="str">
        <f t="shared" si="6"/>
        <v>#1</v>
      </c>
      <c r="E248" s="7">
        <f>Données!G42</f>
        <v>44109</v>
      </c>
      <c r="F248" s="6" t="str">
        <f>INDEX(Données!$F$2:$L$54,MATCH('#1'!E248,Données!$G$2:$G$54,1),1)</f>
        <v>41</v>
      </c>
      <c r="G248" s="18" t="str">
        <f t="shared" si="7"/>
        <v>PS-1</v>
      </c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1"/>
      <c r="W248" s="75"/>
      <c r="X248" s="75"/>
      <c r="Y248" s="75"/>
      <c r="Z248" s="96">
        <f>SUM(Tableau13[[#This Row],[A-1]:[G-5]])</f>
        <v>0</v>
      </c>
      <c r="AA248" s="96" t="str">
        <f>IF(AND(Z248&gt;0,Tableau13[[#This Row],[CDS]]=""),"Oui","Non")</f>
        <v>Non</v>
      </c>
      <c r="AB248" s="75"/>
      <c r="AC248" s="75"/>
      <c r="AD248" s="75"/>
      <c r="AE248" s="75"/>
      <c r="AF248" s="75"/>
      <c r="AG248" s="75"/>
      <c r="AH248" s="75"/>
      <c r="AI248" s="75"/>
      <c r="AJ248" s="81"/>
      <c r="AK248" s="75"/>
      <c r="AL248" s="75"/>
    </row>
    <row r="249" spans="1:38" ht="15.75" hidden="1" thickBot="1" x14ac:dyDescent="0.3">
      <c r="A249" s="75"/>
      <c r="B249" s="75"/>
      <c r="C249" s="35">
        <f>INDEX(Données!$F$2:$L$54,MATCH(F249,Données!$F$2:$F$54,0),2)</f>
        <v>44109</v>
      </c>
      <c r="D249" s="29" t="str">
        <f t="shared" si="6"/>
        <v>#1</v>
      </c>
      <c r="E249" s="7">
        <f>Données!H42</f>
        <v>44110</v>
      </c>
      <c r="F249" s="6" t="str">
        <f>INDEX(Données!$F$2:$L$54,MATCH('#1'!E249,Données!$G$2:$G$54,1),1)</f>
        <v>41</v>
      </c>
      <c r="G249" s="18" t="str">
        <f t="shared" si="7"/>
        <v>PS-1</v>
      </c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1"/>
      <c r="W249" s="75"/>
      <c r="X249" s="75"/>
      <c r="Y249" s="75"/>
      <c r="Z249" s="96">
        <f>SUM(Tableau13[[#This Row],[A-1]:[G-5]])</f>
        <v>0</v>
      </c>
      <c r="AA249" s="96" t="str">
        <f>IF(AND(Z249&gt;0,Tableau13[[#This Row],[CDS]]=""),"Oui","Non")</f>
        <v>Non</v>
      </c>
      <c r="AB249" s="75"/>
      <c r="AC249" s="75"/>
      <c r="AD249" s="75"/>
      <c r="AE249" s="75"/>
      <c r="AF249" s="75"/>
      <c r="AG249" s="75"/>
      <c r="AH249" s="75"/>
      <c r="AI249" s="75"/>
      <c r="AJ249" s="81"/>
      <c r="AK249" s="75"/>
      <c r="AL249" s="75"/>
    </row>
    <row r="250" spans="1:38" ht="15.75" hidden="1" thickBot="1" x14ac:dyDescent="0.3">
      <c r="A250" s="75"/>
      <c r="B250" s="75"/>
      <c r="C250" s="35">
        <f>INDEX(Données!$F$2:$L$54,MATCH(F250,Données!$F$2:$F$54,0),2)</f>
        <v>44109</v>
      </c>
      <c r="D250" s="29" t="str">
        <f t="shared" si="6"/>
        <v>#1</v>
      </c>
      <c r="E250" s="7">
        <f>Données!I42</f>
        <v>44111</v>
      </c>
      <c r="F250" s="6" t="str">
        <f>INDEX(Données!$F$2:$L$54,MATCH('#1'!E250,Données!$G$2:$G$54,1),1)</f>
        <v>41</v>
      </c>
      <c r="G250" s="18" t="str">
        <f t="shared" si="7"/>
        <v>PS-1</v>
      </c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1"/>
      <c r="W250" s="75"/>
      <c r="X250" s="75"/>
      <c r="Y250" s="75"/>
      <c r="Z250" s="96">
        <f>SUM(Tableau13[[#This Row],[A-1]:[G-5]])</f>
        <v>0</v>
      </c>
      <c r="AA250" s="96" t="str">
        <f>IF(AND(Z250&gt;0,Tableau13[[#This Row],[CDS]]=""),"Oui","Non")</f>
        <v>Non</v>
      </c>
      <c r="AB250" s="75"/>
      <c r="AC250" s="75"/>
      <c r="AD250" s="75"/>
      <c r="AE250" s="75"/>
      <c r="AF250" s="75"/>
      <c r="AG250" s="75"/>
      <c r="AH250" s="75"/>
      <c r="AI250" s="75"/>
      <c r="AJ250" s="81"/>
      <c r="AK250" s="75"/>
      <c r="AL250" s="75"/>
    </row>
    <row r="251" spans="1:38" ht="15.75" hidden="1" thickBot="1" x14ac:dyDescent="0.3">
      <c r="A251" s="75"/>
      <c r="B251" s="75"/>
      <c r="C251" s="35">
        <f>INDEX(Données!$F$2:$L$54,MATCH(F251,Données!$F$2:$F$54,0),2)</f>
        <v>44109</v>
      </c>
      <c r="D251" s="29" t="str">
        <f t="shared" si="6"/>
        <v>#1</v>
      </c>
      <c r="E251" s="7">
        <f>Données!J42</f>
        <v>44112</v>
      </c>
      <c r="F251" s="6" t="str">
        <f>INDEX(Données!$F$2:$L$54,MATCH('#1'!E251,Données!$G$2:$G$54,1),1)</f>
        <v>41</v>
      </c>
      <c r="G251" s="18" t="str">
        <f t="shared" si="7"/>
        <v>PS-1</v>
      </c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1"/>
      <c r="W251" s="75"/>
      <c r="X251" s="75"/>
      <c r="Y251" s="75"/>
      <c r="Z251" s="96">
        <f>SUM(Tableau13[[#This Row],[A-1]:[G-5]])</f>
        <v>0</v>
      </c>
      <c r="AA251" s="96" t="str">
        <f>IF(AND(Z251&gt;0,Tableau13[[#This Row],[CDS]]=""),"Oui","Non")</f>
        <v>Non</v>
      </c>
      <c r="AB251" s="75"/>
      <c r="AC251" s="75"/>
      <c r="AD251" s="75"/>
      <c r="AE251" s="75"/>
      <c r="AF251" s="75"/>
      <c r="AG251" s="75"/>
      <c r="AH251" s="75"/>
      <c r="AI251" s="75"/>
      <c r="AJ251" s="81"/>
      <c r="AK251" s="75"/>
      <c r="AL251" s="75"/>
    </row>
    <row r="252" spans="1:38" ht="15.75" hidden="1" thickBot="1" x14ac:dyDescent="0.3">
      <c r="A252" s="75"/>
      <c r="B252" s="75"/>
      <c r="C252" s="35">
        <f>INDEX(Données!$F$2:$L$54,MATCH(F252,Données!$F$2:$F$54,0),2)</f>
        <v>44109</v>
      </c>
      <c r="D252" s="29" t="str">
        <f t="shared" si="6"/>
        <v>#1</v>
      </c>
      <c r="E252" s="7">
        <f>Données!K42</f>
        <v>44113</v>
      </c>
      <c r="F252" s="6" t="str">
        <f>INDEX(Données!$F$2:$L$54,MATCH('#1'!E252,Données!$G$2:$G$54,1),1)</f>
        <v>41</v>
      </c>
      <c r="G252" s="18" t="str">
        <f t="shared" si="7"/>
        <v>PS-1</v>
      </c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1"/>
      <c r="W252" s="75"/>
      <c r="X252" s="75"/>
      <c r="Y252" s="75"/>
      <c r="Z252" s="96">
        <f>SUM(Tableau13[[#This Row],[A-1]:[G-5]])</f>
        <v>0</v>
      </c>
      <c r="AA252" s="96" t="str">
        <f>IF(AND(Z252&gt;0,Tableau13[[#This Row],[CDS]]=""),"Oui","Non")</f>
        <v>Non</v>
      </c>
      <c r="AB252" s="75"/>
      <c r="AC252" s="75"/>
      <c r="AD252" s="75"/>
      <c r="AE252" s="75"/>
      <c r="AF252" s="75"/>
      <c r="AG252" s="75"/>
      <c r="AH252" s="75"/>
      <c r="AI252" s="75"/>
      <c r="AJ252" s="81"/>
      <c r="AK252" s="75"/>
      <c r="AL252" s="75"/>
    </row>
    <row r="253" spans="1:38" ht="15.75" hidden="1" thickBot="1" x14ac:dyDescent="0.3">
      <c r="A253" s="75"/>
      <c r="B253" s="75"/>
      <c r="C253" s="35">
        <f>INDEX(Données!$F$2:$L$54,MATCH(F253,Données!$F$2:$F$54,0),2)</f>
        <v>44109</v>
      </c>
      <c r="D253" s="29" t="str">
        <f t="shared" si="6"/>
        <v>#1</v>
      </c>
      <c r="E253" s="7">
        <f>Données!L42</f>
        <v>44114</v>
      </c>
      <c r="F253" s="6" t="str">
        <f>INDEX(Données!$F$2:$L$54,MATCH('#1'!E253,Données!$G$2:$G$54,1),1)</f>
        <v>41</v>
      </c>
      <c r="G253" s="18" t="str">
        <f t="shared" si="7"/>
        <v>PS-1</v>
      </c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1"/>
      <c r="W253" s="75"/>
      <c r="X253" s="75"/>
      <c r="Y253" s="75"/>
      <c r="Z253" s="96">
        <f>SUM(Tableau13[[#This Row],[A-1]:[G-5]])</f>
        <v>0</v>
      </c>
      <c r="AA253" s="96" t="str">
        <f>IF(AND(Z253&gt;0,Tableau13[[#This Row],[CDS]]=""),"Oui","Non")</f>
        <v>Non</v>
      </c>
      <c r="AB253" s="75"/>
      <c r="AC253" s="75"/>
      <c r="AD253" s="75"/>
      <c r="AE253" s="75"/>
      <c r="AF253" s="75"/>
      <c r="AG253" s="75"/>
      <c r="AH253" s="75"/>
      <c r="AI253" s="75"/>
      <c r="AJ253" s="81"/>
      <c r="AK253" s="75"/>
      <c r="AL253" s="75"/>
    </row>
    <row r="254" spans="1:38" ht="15.75" hidden="1" thickBot="1" x14ac:dyDescent="0.3">
      <c r="A254" s="75"/>
      <c r="B254" s="75"/>
      <c r="C254" s="35">
        <f>INDEX(Données!$F$2:$L$54,MATCH(F254,Données!$F$2:$F$54,0),2)</f>
        <v>44116</v>
      </c>
      <c r="D254" s="29" t="str">
        <f t="shared" si="6"/>
        <v>#1</v>
      </c>
      <c r="E254" s="7">
        <f>Données!G43</f>
        <v>44116</v>
      </c>
      <c r="F254" s="6" t="str">
        <f>INDEX(Données!$F$2:$L$54,MATCH('#1'!E254,Données!$G$2:$G$54,1),1)</f>
        <v>42</v>
      </c>
      <c r="G254" s="18" t="str">
        <f t="shared" si="7"/>
        <v>PS-1</v>
      </c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1"/>
      <c r="W254" s="75"/>
      <c r="X254" s="75"/>
      <c r="Y254" s="75"/>
      <c r="Z254" s="96">
        <f>SUM(Tableau13[[#This Row],[A-1]:[G-5]])</f>
        <v>0</v>
      </c>
      <c r="AA254" s="96" t="str">
        <f>IF(AND(Z254&gt;0,Tableau13[[#This Row],[CDS]]=""),"Oui","Non")</f>
        <v>Non</v>
      </c>
      <c r="AB254" s="75"/>
      <c r="AC254" s="75"/>
      <c r="AD254" s="75"/>
      <c r="AE254" s="75"/>
      <c r="AF254" s="75"/>
      <c r="AG254" s="75"/>
      <c r="AH254" s="75"/>
      <c r="AI254" s="75"/>
      <c r="AJ254" s="81"/>
      <c r="AK254" s="75"/>
      <c r="AL254" s="75"/>
    </row>
    <row r="255" spans="1:38" ht="15.75" hidden="1" thickBot="1" x14ac:dyDescent="0.3">
      <c r="A255" s="75"/>
      <c r="B255" s="75"/>
      <c r="C255" s="35">
        <f>INDEX(Données!$F$2:$L$54,MATCH(F255,Données!$F$2:$F$54,0),2)</f>
        <v>44116</v>
      </c>
      <c r="D255" s="29" t="str">
        <f t="shared" si="6"/>
        <v>#1</v>
      </c>
      <c r="E255" s="7">
        <f>Données!H43</f>
        <v>44117</v>
      </c>
      <c r="F255" s="6" t="str">
        <f>INDEX(Données!$F$2:$L$54,MATCH('#1'!E255,Données!$G$2:$G$54,1),1)</f>
        <v>42</v>
      </c>
      <c r="G255" s="18" t="str">
        <f t="shared" si="7"/>
        <v>PS-1</v>
      </c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1"/>
      <c r="W255" s="75"/>
      <c r="X255" s="75"/>
      <c r="Y255" s="75"/>
      <c r="Z255" s="96">
        <f>SUM(Tableau13[[#This Row],[A-1]:[G-5]])</f>
        <v>0</v>
      </c>
      <c r="AA255" s="96" t="str">
        <f>IF(AND(Z255&gt;0,Tableau13[[#This Row],[CDS]]=""),"Oui","Non")</f>
        <v>Non</v>
      </c>
      <c r="AB255" s="75"/>
      <c r="AC255" s="75"/>
      <c r="AD255" s="75"/>
      <c r="AE255" s="75"/>
      <c r="AF255" s="75"/>
      <c r="AG255" s="75"/>
      <c r="AH255" s="75"/>
      <c r="AI255" s="75"/>
      <c r="AJ255" s="81"/>
      <c r="AK255" s="75"/>
      <c r="AL255" s="75"/>
    </row>
    <row r="256" spans="1:38" ht="15.75" hidden="1" thickBot="1" x14ac:dyDescent="0.3">
      <c r="A256" s="75"/>
      <c r="B256" s="75"/>
      <c r="C256" s="35">
        <f>INDEX(Données!$F$2:$L$54,MATCH(F256,Données!$F$2:$F$54,0),2)</f>
        <v>44116</v>
      </c>
      <c r="D256" s="29" t="str">
        <f t="shared" si="6"/>
        <v>#1</v>
      </c>
      <c r="E256" s="7">
        <f>Données!I43</f>
        <v>44118</v>
      </c>
      <c r="F256" s="6" t="str">
        <f>INDEX(Données!$F$2:$L$54,MATCH('#1'!E256,Données!$G$2:$G$54,1),1)</f>
        <v>42</v>
      </c>
      <c r="G256" s="18" t="str">
        <f t="shared" si="7"/>
        <v>PS-1</v>
      </c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1"/>
      <c r="W256" s="75"/>
      <c r="X256" s="75"/>
      <c r="Y256" s="75"/>
      <c r="Z256" s="96">
        <f>SUM(Tableau13[[#This Row],[A-1]:[G-5]])</f>
        <v>0</v>
      </c>
      <c r="AA256" s="96" t="str">
        <f>IF(AND(Z256&gt;0,Tableau13[[#This Row],[CDS]]=""),"Oui","Non")</f>
        <v>Non</v>
      </c>
      <c r="AB256" s="75"/>
      <c r="AC256" s="75"/>
      <c r="AD256" s="75"/>
      <c r="AE256" s="75"/>
      <c r="AF256" s="75"/>
      <c r="AG256" s="75"/>
      <c r="AH256" s="75"/>
      <c r="AI256" s="75"/>
      <c r="AJ256" s="81"/>
      <c r="AK256" s="75"/>
      <c r="AL256" s="75"/>
    </row>
    <row r="257" spans="1:38" ht="15.75" hidden="1" thickBot="1" x14ac:dyDescent="0.3">
      <c r="A257" s="75"/>
      <c r="B257" s="75"/>
      <c r="C257" s="35">
        <f>INDEX(Données!$F$2:$L$54,MATCH(F257,Données!$F$2:$F$54,0),2)</f>
        <v>44116</v>
      </c>
      <c r="D257" s="29" t="str">
        <f t="shared" si="6"/>
        <v>#1</v>
      </c>
      <c r="E257" s="7">
        <f>Données!J43</f>
        <v>44119</v>
      </c>
      <c r="F257" s="6" t="str">
        <f>INDEX(Données!$F$2:$L$54,MATCH('#1'!E257,Données!$G$2:$G$54,1),1)</f>
        <v>42</v>
      </c>
      <c r="G257" s="18" t="str">
        <f t="shared" si="7"/>
        <v>PS-1</v>
      </c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1"/>
      <c r="W257" s="75"/>
      <c r="X257" s="75"/>
      <c r="Y257" s="75"/>
      <c r="Z257" s="96">
        <f>SUM(Tableau13[[#This Row],[A-1]:[G-5]])</f>
        <v>0</v>
      </c>
      <c r="AA257" s="96" t="str">
        <f>IF(AND(Z257&gt;0,Tableau13[[#This Row],[CDS]]=""),"Oui","Non")</f>
        <v>Non</v>
      </c>
      <c r="AB257" s="75"/>
      <c r="AC257" s="75"/>
      <c r="AD257" s="75"/>
      <c r="AE257" s="75"/>
      <c r="AF257" s="75"/>
      <c r="AG257" s="75"/>
      <c r="AH257" s="75"/>
      <c r="AI257" s="75"/>
      <c r="AJ257" s="81"/>
      <c r="AK257" s="75"/>
      <c r="AL257" s="75"/>
    </row>
    <row r="258" spans="1:38" ht="15.75" hidden="1" thickBot="1" x14ac:dyDescent="0.3">
      <c r="A258" s="75"/>
      <c r="B258" s="75"/>
      <c r="C258" s="35">
        <f>INDEX(Données!$F$2:$L$54,MATCH(F258,Données!$F$2:$F$54,0),2)</f>
        <v>44116</v>
      </c>
      <c r="D258" s="29" t="str">
        <f t="shared" si="6"/>
        <v>#1</v>
      </c>
      <c r="E258" s="7">
        <f>Données!K43</f>
        <v>44120</v>
      </c>
      <c r="F258" s="6" t="str">
        <f>INDEX(Données!$F$2:$L$54,MATCH('#1'!E258,Données!$G$2:$G$54,1),1)</f>
        <v>42</v>
      </c>
      <c r="G258" s="18" t="str">
        <f t="shared" si="7"/>
        <v>PS-1</v>
      </c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1"/>
      <c r="W258" s="75"/>
      <c r="X258" s="75"/>
      <c r="Y258" s="75"/>
      <c r="Z258" s="96">
        <f>SUM(Tableau13[[#This Row],[A-1]:[G-5]])</f>
        <v>0</v>
      </c>
      <c r="AA258" s="96" t="str">
        <f>IF(AND(Z258&gt;0,Tableau13[[#This Row],[CDS]]=""),"Oui","Non")</f>
        <v>Non</v>
      </c>
      <c r="AB258" s="75"/>
      <c r="AC258" s="75"/>
      <c r="AD258" s="75"/>
      <c r="AE258" s="75"/>
      <c r="AF258" s="75"/>
      <c r="AG258" s="75"/>
      <c r="AH258" s="75"/>
      <c r="AI258" s="75"/>
      <c r="AJ258" s="81"/>
      <c r="AK258" s="75"/>
      <c r="AL258" s="75"/>
    </row>
    <row r="259" spans="1:38" ht="15.75" hidden="1" thickBot="1" x14ac:dyDescent="0.3">
      <c r="A259" s="75"/>
      <c r="B259" s="75"/>
      <c r="C259" s="35">
        <f>INDEX(Données!$F$2:$L$54,MATCH(F259,Données!$F$2:$F$54,0),2)</f>
        <v>44116</v>
      </c>
      <c r="D259" s="29" t="str">
        <f t="shared" si="6"/>
        <v>#1</v>
      </c>
      <c r="E259" s="7">
        <f>Données!L43</f>
        <v>44121</v>
      </c>
      <c r="F259" s="6" t="str">
        <f>INDEX(Données!$F$2:$L$54,MATCH('#1'!E259,Données!$G$2:$G$54,1),1)</f>
        <v>42</v>
      </c>
      <c r="G259" s="18" t="str">
        <f t="shared" si="7"/>
        <v>PS-1</v>
      </c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1"/>
      <c r="W259" s="75"/>
      <c r="X259" s="75"/>
      <c r="Y259" s="75"/>
      <c r="Z259" s="96">
        <f>SUM(Tableau13[[#This Row],[A-1]:[G-5]])</f>
        <v>0</v>
      </c>
      <c r="AA259" s="96" t="str">
        <f>IF(AND(Z259&gt;0,Tableau13[[#This Row],[CDS]]=""),"Oui","Non")</f>
        <v>Non</v>
      </c>
      <c r="AB259" s="75"/>
      <c r="AC259" s="75"/>
      <c r="AD259" s="75"/>
      <c r="AE259" s="75"/>
      <c r="AF259" s="75"/>
      <c r="AG259" s="75"/>
      <c r="AH259" s="75"/>
      <c r="AI259" s="75"/>
      <c r="AJ259" s="81"/>
      <c r="AK259" s="75"/>
      <c r="AL259" s="75"/>
    </row>
    <row r="260" spans="1:38" ht="15.75" hidden="1" thickBot="1" x14ac:dyDescent="0.3">
      <c r="A260" s="75"/>
      <c r="B260" s="75"/>
      <c r="C260" s="35">
        <f>INDEX(Données!$F$2:$L$54,MATCH(F260,Données!$F$2:$F$54,0),2)</f>
        <v>44123</v>
      </c>
      <c r="D260" s="29" t="str">
        <f t="shared" si="6"/>
        <v>#1</v>
      </c>
      <c r="E260" s="7">
        <f>Données!G44</f>
        <v>44123</v>
      </c>
      <c r="F260" s="6" t="str">
        <f>INDEX(Données!$F$2:$L$54,MATCH('#1'!E260,Données!$G$2:$G$54,1),1)</f>
        <v>43</v>
      </c>
      <c r="G260" s="18" t="str">
        <f t="shared" si="7"/>
        <v>PS-1</v>
      </c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1"/>
      <c r="W260" s="75"/>
      <c r="X260" s="75"/>
      <c r="Y260" s="75"/>
      <c r="Z260" s="96">
        <f>SUM(Tableau13[[#This Row],[A-1]:[G-5]])</f>
        <v>0</v>
      </c>
      <c r="AA260" s="96" t="str">
        <f>IF(AND(Z260&gt;0,Tableau13[[#This Row],[CDS]]=""),"Oui","Non")</f>
        <v>Non</v>
      </c>
      <c r="AB260" s="75"/>
      <c r="AC260" s="75"/>
      <c r="AD260" s="75"/>
      <c r="AE260" s="75"/>
      <c r="AF260" s="75"/>
      <c r="AG260" s="75"/>
      <c r="AH260" s="75"/>
      <c r="AI260" s="75"/>
      <c r="AJ260" s="81"/>
      <c r="AK260" s="75"/>
      <c r="AL260" s="75"/>
    </row>
    <row r="261" spans="1:38" ht="15.75" hidden="1" thickBot="1" x14ac:dyDescent="0.3">
      <c r="A261" s="75"/>
      <c r="B261" s="75"/>
      <c r="C261" s="35">
        <f>INDEX(Données!$F$2:$L$54,MATCH(F261,Données!$F$2:$F$54,0),2)</f>
        <v>44123</v>
      </c>
      <c r="D261" s="29" t="str">
        <f t="shared" si="6"/>
        <v>#1</v>
      </c>
      <c r="E261" s="7">
        <f>Données!H44</f>
        <v>44124</v>
      </c>
      <c r="F261" s="6" t="str">
        <f>INDEX(Données!$F$2:$L$54,MATCH('#1'!E261,Données!$G$2:$G$54,1),1)</f>
        <v>43</v>
      </c>
      <c r="G261" s="18" t="str">
        <f t="shared" si="7"/>
        <v>PS-1</v>
      </c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1"/>
      <c r="W261" s="75"/>
      <c r="X261" s="75"/>
      <c r="Y261" s="75"/>
      <c r="Z261" s="96">
        <f>SUM(Tableau13[[#This Row],[A-1]:[G-5]])</f>
        <v>0</v>
      </c>
      <c r="AA261" s="96" t="str">
        <f>IF(AND(Z261&gt;0,Tableau13[[#This Row],[CDS]]=""),"Oui","Non")</f>
        <v>Non</v>
      </c>
      <c r="AB261" s="75"/>
      <c r="AC261" s="75"/>
      <c r="AD261" s="75"/>
      <c r="AE261" s="75"/>
      <c r="AF261" s="75"/>
      <c r="AG261" s="75"/>
      <c r="AH261" s="75"/>
      <c r="AI261" s="75"/>
      <c r="AJ261" s="81"/>
      <c r="AK261" s="75"/>
      <c r="AL261" s="75"/>
    </row>
    <row r="262" spans="1:38" ht="15.75" hidden="1" thickBot="1" x14ac:dyDescent="0.3">
      <c r="A262" s="75"/>
      <c r="B262" s="75"/>
      <c r="C262" s="35">
        <f>INDEX(Données!$F$2:$L$54,MATCH(F262,Données!$F$2:$F$54,0),2)</f>
        <v>44123</v>
      </c>
      <c r="D262" s="29" t="str">
        <f t="shared" si="6"/>
        <v>#1</v>
      </c>
      <c r="E262" s="7">
        <f>Données!I44</f>
        <v>44125</v>
      </c>
      <c r="F262" s="6" t="str">
        <f>INDEX(Données!$F$2:$L$54,MATCH('#1'!E262,Données!$G$2:$G$54,1),1)</f>
        <v>43</v>
      </c>
      <c r="G262" s="18" t="str">
        <f t="shared" si="7"/>
        <v>PS-1</v>
      </c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1"/>
      <c r="W262" s="75"/>
      <c r="X262" s="75"/>
      <c r="Y262" s="75"/>
      <c r="Z262" s="96">
        <f>SUM(Tableau13[[#This Row],[A-1]:[G-5]])</f>
        <v>0</v>
      </c>
      <c r="AA262" s="96" t="str">
        <f>IF(AND(Z262&gt;0,Tableau13[[#This Row],[CDS]]=""),"Oui","Non")</f>
        <v>Non</v>
      </c>
      <c r="AB262" s="75"/>
      <c r="AC262" s="75"/>
      <c r="AD262" s="75"/>
      <c r="AE262" s="75"/>
      <c r="AF262" s="75"/>
      <c r="AG262" s="75"/>
      <c r="AH262" s="75"/>
      <c r="AI262" s="75"/>
      <c r="AJ262" s="81"/>
      <c r="AK262" s="75"/>
      <c r="AL262" s="75"/>
    </row>
    <row r="263" spans="1:38" ht="15.75" hidden="1" thickBot="1" x14ac:dyDescent="0.3">
      <c r="A263" s="75"/>
      <c r="B263" s="75"/>
      <c r="C263" s="35">
        <f>INDEX(Données!$F$2:$L$54,MATCH(F263,Données!$F$2:$F$54,0),2)</f>
        <v>44123</v>
      </c>
      <c r="D263" s="29" t="str">
        <f t="shared" si="6"/>
        <v>#1</v>
      </c>
      <c r="E263" s="7">
        <f>Données!J44</f>
        <v>44126</v>
      </c>
      <c r="F263" s="6" t="str">
        <f>INDEX(Données!$F$2:$L$54,MATCH('#1'!E263,Données!$G$2:$G$54,1),1)</f>
        <v>43</v>
      </c>
      <c r="G263" s="18" t="str">
        <f t="shared" si="7"/>
        <v>PS-1</v>
      </c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1"/>
      <c r="W263" s="75"/>
      <c r="X263" s="75"/>
      <c r="Y263" s="75"/>
      <c r="Z263" s="96">
        <f>SUM(Tableau13[[#This Row],[A-1]:[G-5]])</f>
        <v>0</v>
      </c>
      <c r="AA263" s="96" t="str">
        <f>IF(AND(Z263&gt;0,Tableau13[[#This Row],[CDS]]=""),"Oui","Non")</f>
        <v>Non</v>
      </c>
      <c r="AB263" s="75"/>
      <c r="AC263" s="75"/>
      <c r="AD263" s="75"/>
      <c r="AE263" s="75"/>
      <c r="AF263" s="75"/>
      <c r="AG263" s="75"/>
      <c r="AH263" s="75"/>
      <c r="AI263" s="75"/>
      <c r="AJ263" s="81"/>
      <c r="AK263" s="75"/>
      <c r="AL263" s="75"/>
    </row>
    <row r="264" spans="1:38" ht="15.75" hidden="1" thickBot="1" x14ac:dyDescent="0.3">
      <c r="A264" s="75"/>
      <c r="B264" s="75"/>
      <c r="C264" s="35">
        <f>INDEX(Données!$F$2:$L$54,MATCH(F264,Données!$F$2:$F$54,0),2)</f>
        <v>44123</v>
      </c>
      <c r="D264" s="29" t="str">
        <f t="shared" ref="D264:D325" si="8">$E$4</f>
        <v>#1</v>
      </c>
      <c r="E264" s="7">
        <f>Données!K44</f>
        <v>44127</v>
      </c>
      <c r="F264" s="6" t="str">
        <f>INDEX(Données!$F$2:$L$54,MATCH('#1'!E264,Données!$G$2:$G$54,1),1)</f>
        <v>43</v>
      </c>
      <c r="G264" s="18" t="str">
        <f t="shared" ref="G264:G325" si="9">IF(AND($V$5=1),"PS-1",IF(AND($V$5=2),"PS-2",IF(AND($V$5=4),"PS-4",IF(AND($V$5=6),"S.O.",IF(AND($V$5=5),"")))))</f>
        <v>PS-1</v>
      </c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1"/>
      <c r="W264" s="75"/>
      <c r="X264" s="75"/>
      <c r="Y264" s="75"/>
      <c r="Z264" s="96">
        <f>SUM(Tableau13[[#This Row],[A-1]:[G-5]])</f>
        <v>0</v>
      </c>
      <c r="AA264" s="96" t="str">
        <f>IF(AND(Z264&gt;0,Tableau13[[#This Row],[CDS]]=""),"Oui","Non")</f>
        <v>Non</v>
      </c>
      <c r="AB264" s="75"/>
      <c r="AC264" s="75"/>
      <c r="AD264" s="75"/>
      <c r="AE264" s="75"/>
      <c r="AF264" s="75"/>
      <c r="AG264" s="75"/>
      <c r="AH264" s="75"/>
      <c r="AI264" s="75"/>
      <c r="AJ264" s="81"/>
      <c r="AK264" s="75"/>
      <c r="AL264" s="75"/>
    </row>
    <row r="265" spans="1:38" ht="15.75" hidden="1" thickBot="1" x14ac:dyDescent="0.3">
      <c r="A265" s="75"/>
      <c r="B265" s="75"/>
      <c r="C265" s="35">
        <f>INDEX(Données!$F$2:$L$54,MATCH(F265,Données!$F$2:$F$54,0),2)</f>
        <v>44123</v>
      </c>
      <c r="D265" s="29" t="str">
        <f t="shared" si="8"/>
        <v>#1</v>
      </c>
      <c r="E265" s="7">
        <f>Données!L44</f>
        <v>44128</v>
      </c>
      <c r="F265" s="6" t="str">
        <f>INDEX(Données!$F$2:$L$54,MATCH('#1'!E265,Données!$G$2:$G$54,1),1)</f>
        <v>43</v>
      </c>
      <c r="G265" s="18" t="str">
        <f t="shared" si="9"/>
        <v>PS-1</v>
      </c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1"/>
      <c r="W265" s="75"/>
      <c r="X265" s="75"/>
      <c r="Y265" s="75"/>
      <c r="Z265" s="96">
        <f>SUM(Tableau13[[#This Row],[A-1]:[G-5]])</f>
        <v>0</v>
      </c>
      <c r="AA265" s="96" t="str">
        <f>IF(AND(Z265&gt;0,Tableau13[[#This Row],[CDS]]=""),"Oui","Non")</f>
        <v>Non</v>
      </c>
      <c r="AB265" s="75"/>
      <c r="AC265" s="75"/>
      <c r="AD265" s="75"/>
      <c r="AE265" s="75"/>
      <c r="AF265" s="75"/>
      <c r="AG265" s="75"/>
      <c r="AH265" s="75"/>
      <c r="AI265" s="75"/>
      <c r="AJ265" s="81"/>
      <c r="AK265" s="75"/>
      <c r="AL265" s="75"/>
    </row>
    <row r="266" spans="1:38" ht="15.75" hidden="1" thickBot="1" x14ac:dyDescent="0.3">
      <c r="A266" s="75"/>
      <c r="B266" s="75"/>
      <c r="C266" s="35">
        <f>INDEX(Données!$F$2:$L$54,MATCH(F266,Données!$F$2:$F$54,0),2)</f>
        <v>44130</v>
      </c>
      <c r="D266" s="29" t="str">
        <f t="shared" si="8"/>
        <v>#1</v>
      </c>
      <c r="E266" s="7">
        <f>Données!G45</f>
        <v>44130</v>
      </c>
      <c r="F266" s="6" t="str">
        <f>INDEX(Données!$F$2:$L$54,MATCH('#1'!E266,Données!$G$2:$G$54,1),1)</f>
        <v>44</v>
      </c>
      <c r="G266" s="18" t="str">
        <f t="shared" si="9"/>
        <v>PS-1</v>
      </c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1"/>
      <c r="W266" s="75"/>
      <c r="X266" s="75"/>
      <c r="Y266" s="75"/>
      <c r="Z266" s="96">
        <f>SUM(Tableau13[[#This Row],[A-1]:[G-5]])</f>
        <v>0</v>
      </c>
      <c r="AA266" s="96" t="str">
        <f>IF(AND(Z266&gt;0,Tableau13[[#This Row],[CDS]]=""),"Oui","Non")</f>
        <v>Non</v>
      </c>
      <c r="AB266" s="75"/>
      <c r="AC266" s="75"/>
      <c r="AD266" s="75"/>
      <c r="AE266" s="75"/>
      <c r="AF266" s="75"/>
      <c r="AG266" s="75"/>
      <c r="AH266" s="75"/>
      <c r="AI266" s="75"/>
      <c r="AJ266" s="81"/>
      <c r="AK266" s="75"/>
      <c r="AL266" s="75"/>
    </row>
    <row r="267" spans="1:38" ht="15.75" hidden="1" thickBot="1" x14ac:dyDescent="0.3">
      <c r="A267" s="75"/>
      <c r="B267" s="75"/>
      <c r="C267" s="35">
        <f>INDEX(Données!$F$2:$L$54,MATCH(F267,Données!$F$2:$F$54,0),2)</f>
        <v>44130</v>
      </c>
      <c r="D267" s="29" t="str">
        <f t="shared" si="8"/>
        <v>#1</v>
      </c>
      <c r="E267" s="7">
        <f>Données!H45</f>
        <v>44131</v>
      </c>
      <c r="F267" s="6" t="str">
        <f>INDEX(Données!$F$2:$L$54,MATCH('#1'!E267,Données!$G$2:$G$54,1),1)</f>
        <v>44</v>
      </c>
      <c r="G267" s="18" t="str">
        <f t="shared" si="9"/>
        <v>PS-1</v>
      </c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1"/>
      <c r="W267" s="75"/>
      <c r="X267" s="75"/>
      <c r="Y267" s="75"/>
      <c r="Z267" s="96">
        <f>SUM(Tableau13[[#This Row],[A-1]:[G-5]])</f>
        <v>0</v>
      </c>
      <c r="AA267" s="96" t="str">
        <f>IF(AND(Z267&gt;0,Tableau13[[#This Row],[CDS]]=""),"Oui","Non")</f>
        <v>Non</v>
      </c>
      <c r="AB267" s="75"/>
      <c r="AC267" s="75"/>
      <c r="AD267" s="75"/>
      <c r="AE267" s="75"/>
      <c r="AF267" s="75"/>
      <c r="AG267" s="75"/>
      <c r="AH267" s="75"/>
      <c r="AI267" s="75"/>
      <c r="AJ267" s="81"/>
      <c r="AK267" s="75"/>
      <c r="AL267" s="75"/>
    </row>
    <row r="268" spans="1:38" ht="15.75" hidden="1" thickBot="1" x14ac:dyDescent="0.3">
      <c r="A268" s="75"/>
      <c r="B268" s="75"/>
      <c r="C268" s="35">
        <f>INDEX(Données!$F$2:$L$54,MATCH(F268,Données!$F$2:$F$54,0),2)</f>
        <v>44130</v>
      </c>
      <c r="D268" s="29" t="str">
        <f t="shared" si="8"/>
        <v>#1</v>
      </c>
      <c r="E268" s="7">
        <f>Données!I45</f>
        <v>44132</v>
      </c>
      <c r="F268" s="6" t="str">
        <f>INDEX(Données!$F$2:$L$54,MATCH('#1'!E268,Données!$G$2:$G$54,1),1)</f>
        <v>44</v>
      </c>
      <c r="G268" s="18" t="str">
        <f t="shared" si="9"/>
        <v>PS-1</v>
      </c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1"/>
      <c r="W268" s="75"/>
      <c r="X268" s="75"/>
      <c r="Y268" s="75"/>
      <c r="Z268" s="96">
        <f>SUM(Tableau13[[#This Row],[A-1]:[G-5]])</f>
        <v>0</v>
      </c>
      <c r="AA268" s="96" t="str">
        <f>IF(AND(Z268&gt;0,Tableau13[[#This Row],[CDS]]=""),"Oui","Non")</f>
        <v>Non</v>
      </c>
      <c r="AB268" s="75"/>
      <c r="AC268" s="75"/>
      <c r="AD268" s="75"/>
      <c r="AE268" s="75"/>
      <c r="AF268" s="75"/>
      <c r="AG268" s="75"/>
      <c r="AH268" s="75"/>
      <c r="AI268" s="75"/>
      <c r="AJ268" s="81"/>
      <c r="AK268" s="75"/>
      <c r="AL268" s="75"/>
    </row>
    <row r="269" spans="1:38" ht="15.75" hidden="1" thickBot="1" x14ac:dyDescent="0.3">
      <c r="A269" s="75"/>
      <c r="B269" s="75"/>
      <c r="C269" s="35">
        <f>INDEX(Données!$F$2:$L$54,MATCH(F269,Données!$F$2:$F$54,0),2)</f>
        <v>44130</v>
      </c>
      <c r="D269" s="29" t="str">
        <f t="shared" si="8"/>
        <v>#1</v>
      </c>
      <c r="E269" s="7">
        <f>Données!J45</f>
        <v>44133</v>
      </c>
      <c r="F269" s="6" t="str">
        <f>INDEX(Données!$F$2:$L$54,MATCH('#1'!E269,Données!$G$2:$G$54,1),1)</f>
        <v>44</v>
      </c>
      <c r="G269" s="18" t="str">
        <f t="shared" si="9"/>
        <v>PS-1</v>
      </c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1"/>
      <c r="W269" s="75"/>
      <c r="X269" s="75"/>
      <c r="Y269" s="75"/>
      <c r="Z269" s="96">
        <f>SUM(Tableau13[[#This Row],[A-1]:[G-5]])</f>
        <v>0</v>
      </c>
      <c r="AA269" s="96" t="str">
        <f>IF(AND(Z269&gt;0,Tableau13[[#This Row],[CDS]]=""),"Oui","Non")</f>
        <v>Non</v>
      </c>
      <c r="AB269" s="75"/>
      <c r="AC269" s="75"/>
      <c r="AD269" s="75"/>
      <c r="AE269" s="75"/>
      <c r="AF269" s="75"/>
      <c r="AG269" s="75"/>
      <c r="AH269" s="75"/>
      <c r="AI269" s="75"/>
      <c r="AJ269" s="81"/>
      <c r="AK269" s="75"/>
      <c r="AL269" s="75"/>
    </row>
    <row r="270" spans="1:38" ht="15.75" hidden="1" thickBot="1" x14ac:dyDescent="0.3">
      <c r="A270" s="75"/>
      <c r="B270" s="75"/>
      <c r="C270" s="35">
        <f>INDEX(Données!$F$2:$L$54,MATCH(F270,Données!$F$2:$F$54,0),2)</f>
        <v>44130</v>
      </c>
      <c r="D270" s="29" t="str">
        <f t="shared" si="8"/>
        <v>#1</v>
      </c>
      <c r="E270" s="7">
        <f>Données!K45</f>
        <v>44134</v>
      </c>
      <c r="F270" s="6" t="str">
        <f>INDEX(Données!$F$2:$L$54,MATCH('#1'!E270,Données!$G$2:$G$54,1),1)</f>
        <v>44</v>
      </c>
      <c r="G270" s="18" t="str">
        <f t="shared" si="9"/>
        <v>PS-1</v>
      </c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1"/>
      <c r="W270" s="75"/>
      <c r="X270" s="75"/>
      <c r="Y270" s="75"/>
      <c r="Z270" s="96">
        <f>SUM(Tableau13[[#This Row],[A-1]:[G-5]])</f>
        <v>0</v>
      </c>
      <c r="AA270" s="96" t="str">
        <f>IF(AND(Z270&gt;0,Tableau13[[#This Row],[CDS]]=""),"Oui","Non")</f>
        <v>Non</v>
      </c>
      <c r="AB270" s="75"/>
      <c r="AC270" s="75"/>
      <c r="AD270" s="75"/>
      <c r="AE270" s="75"/>
      <c r="AF270" s="75"/>
      <c r="AG270" s="75"/>
      <c r="AH270" s="75"/>
      <c r="AI270" s="75"/>
      <c r="AJ270" s="81"/>
      <c r="AK270" s="75"/>
      <c r="AL270" s="75"/>
    </row>
    <row r="271" spans="1:38" ht="15.75" hidden="1" thickBot="1" x14ac:dyDescent="0.3">
      <c r="A271" s="75"/>
      <c r="B271" s="75"/>
      <c r="C271" s="35">
        <f>INDEX(Données!$F$2:$L$54,MATCH(F271,Données!$F$2:$F$54,0),2)</f>
        <v>44130</v>
      </c>
      <c r="D271" s="29" t="str">
        <f t="shared" si="8"/>
        <v>#1</v>
      </c>
      <c r="E271" s="7">
        <f>Données!L45</f>
        <v>44135</v>
      </c>
      <c r="F271" s="6" t="str">
        <f>INDEX(Données!$F$2:$L$54,MATCH('#1'!E271,Données!$G$2:$G$54,1),1)</f>
        <v>44</v>
      </c>
      <c r="G271" s="18" t="str">
        <f t="shared" si="9"/>
        <v>PS-1</v>
      </c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1"/>
      <c r="W271" s="75"/>
      <c r="X271" s="75"/>
      <c r="Y271" s="75"/>
      <c r="Z271" s="96">
        <f>SUM(Tableau13[[#This Row],[A-1]:[G-5]])</f>
        <v>0</v>
      </c>
      <c r="AA271" s="96" t="str">
        <f>IF(AND(Z271&gt;0,Tableau13[[#This Row],[CDS]]=""),"Oui","Non")</f>
        <v>Non</v>
      </c>
      <c r="AB271" s="75"/>
      <c r="AC271" s="75"/>
      <c r="AD271" s="75"/>
      <c r="AE271" s="75"/>
      <c r="AF271" s="75"/>
      <c r="AG271" s="75"/>
      <c r="AH271" s="75"/>
      <c r="AI271" s="75"/>
      <c r="AJ271" s="81"/>
      <c r="AK271" s="75"/>
      <c r="AL271" s="75"/>
    </row>
    <row r="272" spans="1:38" ht="15.75" hidden="1" thickBot="1" x14ac:dyDescent="0.3">
      <c r="A272" s="75"/>
      <c r="B272" s="75"/>
      <c r="C272" s="35">
        <f>INDEX(Données!$F$2:$L$54,MATCH(F272,Données!$F$2:$F$54,0),2)</f>
        <v>44137</v>
      </c>
      <c r="D272" s="29" t="str">
        <f t="shared" si="8"/>
        <v>#1</v>
      </c>
      <c r="E272" s="7">
        <f>Données!G46</f>
        <v>44137</v>
      </c>
      <c r="F272" s="6" t="str">
        <f>INDEX(Données!$F$2:$L$54,MATCH('#1'!E272,Données!$G$2:$G$54,1),1)</f>
        <v>45</v>
      </c>
      <c r="G272" s="18" t="str">
        <f t="shared" si="9"/>
        <v>PS-1</v>
      </c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1"/>
      <c r="W272" s="75"/>
      <c r="X272" s="75"/>
      <c r="Y272" s="75"/>
      <c r="Z272" s="96">
        <f>SUM(Tableau13[[#This Row],[A-1]:[G-5]])</f>
        <v>0</v>
      </c>
      <c r="AA272" s="96" t="str">
        <f>IF(AND(Z272&gt;0,Tableau13[[#This Row],[CDS]]=""),"Oui","Non")</f>
        <v>Non</v>
      </c>
      <c r="AB272" s="75"/>
      <c r="AC272" s="75"/>
      <c r="AD272" s="75"/>
      <c r="AE272" s="75"/>
      <c r="AF272" s="75"/>
      <c r="AG272" s="75"/>
      <c r="AH272" s="75"/>
      <c r="AI272" s="75"/>
      <c r="AJ272" s="81"/>
      <c r="AK272" s="75"/>
      <c r="AL272" s="75"/>
    </row>
    <row r="273" spans="1:38" ht="15.75" hidden="1" thickBot="1" x14ac:dyDescent="0.3">
      <c r="A273" s="75"/>
      <c r="B273" s="75"/>
      <c r="C273" s="35">
        <f>INDEX(Données!$F$2:$L$54,MATCH(F273,Données!$F$2:$F$54,0),2)</f>
        <v>44137</v>
      </c>
      <c r="D273" s="29" t="str">
        <f t="shared" si="8"/>
        <v>#1</v>
      </c>
      <c r="E273" s="7">
        <f>Données!H46</f>
        <v>44138</v>
      </c>
      <c r="F273" s="6" t="str">
        <f>INDEX(Données!$F$2:$L$54,MATCH('#1'!E273,Données!$G$2:$G$54,1),1)</f>
        <v>45</v>
      </c>
      <c r="G273" s="18" t="str">
        <f t="shared" si="9"/>
        <v>PS-1</v>
      </c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1"/>
      <c r="W273" s="75"/>
      <c r="X273" s="75"/>
      <c r="Y273" s="75"/>
      <c r="Z273" s="96">
        <f>SUM(Tableau13[[#This Row],[A-1]:[G-5]])</f>
        <v>0</v>
      </c>
      <c r="AA273" s="96" t="str">
        <f>IF(AND(Z273&gt;0,Tableau13[[#This Row],[CDS]]=""),"Oui","Non")</f>
        <v>Non</v>
      </c>
      <c r="AB273" s="75"/>
      <c r="AC273" s="75"/>
      <c r="AD273" s="75"/>
      <c r="AE273" s="75"/>
      <c r="AF273" s="75"/>
      <c r="AG273" s="75"/>
      <c r="AH273" s="75"/>
      <c r="AI273" s="75"/>
      <c r="AJ273" s="81"/>
      <c r="AK273" s="75"/>
      <c r="AL273" s="75"/>
    </row>
    <row r="274" spans="1:38" ht="15.75" hidden="1" thickBot="1" x14ac:dyDescent="0.3">
      <c r="A274" s="75"/>
      <c r="B274" s="75"/>
      <c r="C274" s="35">
        <f>INDEX(Données!$F$2:$L$54,MATCH(F274,Données!$F$2:$F$54,0),2)</f>
        <v>44137</v>
      </c>
      <c r="D274" s="29" t="str">
        <f t="shared" si="8"/>
        <v>#1</v>
      </c>
      <c r="E274" s="7">
        <f>Données!I46</f>
        <v>44139</v>
      </c>
      <c r="F274" s="6" t="str">
        <f>INDEX(Données!$F$2:$L$54,MATCH('#1'!E274,Données!$G$2:$G$54,1),1)</f>
        <v>45</v>
      </c>
      <c r="G274" s="18" t="str">
        <f t="shared" si="9"/>
        <v>PS-1</v>
      </c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1"/>
      <c r="W274" s="75"/>
      <c r="X274" s="75"/>
      <c r="Y274" s="75"/>
      <c r="Z274" s="96">
        <f>SUM(Tableau13[[#This Row],[A-1]:[G-5]])</f>
        <v>0</v>
      </c>
      <c r="AA274" s="96" t="str">
        <f>IF(AND(Z274&gt;0,Tableau13[[#This Row],[CDS]]=""),"Oui","Non")</f>
        <v>Non</v>
      </c>
      <c r="AB274" s="75"/>
      <c r="AC274" s="75"/>
      <c r="AD274" s="75"/>
      <c r="AE274" s="75"/>
      <c r="AF274" s="75"/>
      <c r="AG274" s="75"/>
      <c r="AH274" s="75"/>
      <c r="AI274" s="75"/>
      <c r="AJ274" s="81"/>
      <c r="AK274" s="75"/>
      <c r="AL274" s="75"/>
    </row>
    <row r="275" spans="1:38" ht="15.75" hidden="1" thickBot="1" x14ac:dyDescent="0.3">
      <c r="A275" s="75"/>
      <c r="B275" s="75"/>
      <c r="C275" s="35">
        <f>INDEX(Données!$F$2:$L$54,MATCH(F275,Données!$F$2:$F$54,0),2)</f>
        <v>44137</v>
      </c>
      <c r="D275" s="29" t="str">
        <f t="shared" si="8"/>
        <v>#1</v>
      </c>
      <c r="E275" s="7">
        <f>Données!J46</f>
        <v>44140</v>
      </c>
      <c r="F275" s="6" t="str">
        <f>INDEX(Données!$F$2:$L$54,MATCH('#1'!E275,Données!$G$2:$G$54,1),1)</f>
        <v>45</v>
      </c>
      <c r="G275" s="18" t="str">
        <f t="shared" si="9"/>
        <v>PS-1</v>
      </c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1"/>
      <c r="W275" s="75"/>
      <c r="X275" s="75"/>
      <c r="Y275" s="75"/>
      <c r="Z275" s="96">
        <f>SUM(Tableau13[[#This Row],[A-1]:[G-5]])</f>
        <v>0</v>
      </c>
      <c r="AA275" s="96" t="str">
        <f>IF(AND(Z275&gt;0,Tableau13[[#This Row],[CDS]]=""),"Oui","Non")</f>
        <v>Non</v>
      </c>
      <c r="AB275" s="75"/>
      <c r="AC275" s="75"/>
      <c r="AD275" s="75"/>
      <c r="AE275" s="75"/>
      <c r="AF275" s="75"/>
      <c r="AG275" s="75"/>
      <c r="AH275" s="75"/>
      <c r="AI275" s="75"/>
      <c r="AJ275" s="81"/>
      <c r="AK275" s="75"/>
      <c r="AL275" s="75"/>
    </row>
    <row r="276" spans="1:38" ht="15.75" hidden="1" thickBot="1" x14ac:dyDescent="0.3">
      <c r="A276" s="75"/>
      <c r="B276" s="75"/>
      <c r="C276" s="35">
        <f>INDEX(Données!$F$2:$L$54,MATCH(F276,Données!$F$2:$F$54,0),2)</f>
        <v>44137</v>
      </c>
      <c r="D276" s="29" t="str">
        <f t="shared" si="8"/>
        <v>#1</v>
      </c>
      <c r="E276" s="7">
        <f>Données!K46</f>
        <v>44141</v>
      </c>
      <c r="F276" s="6" t="str">
        <f>INDEX(Données!$F$2:$L$54,MATCH('#1'!E276,Données!$G$2:$G$54,1),1)</f>
        <v>45</v>
      </c>
      <c r="G276" s="18" t="str">
        <f t="shared" si="9"/>
        <v>PS-1</v>
      </c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1"/>
      <c r="W276" s="75"/>
      <c r="X276" s="75"/>
      <c r="Y276" s="75"/>
      <c r="Z276" s="96">
        <f>SUM(Tableau13[[#This Row],[A-1]:[G-5]])</f>
        <v>0</v>
      </c>
      <c r="AA276" s="96" t="str">
        <f>IF(AND(Z276&gt;0,Tableau13[[#This Row],[CDS]]=""),"Oui","Non")</f>
        <v>Non</v>
      </c>
      <c r="AB276" s="75"/>
      <c r="AC276" s="75"/>
      <c r="AD276" s="75"/>
      <c r="AE276" s="75"/>
      <c r="AF276" s="75"/>
      <c r="AG276" s="75"/>
      <c r="AH276" s="75"/>
      <c r="AI276" s="75"/>
      <c r="AJ276" s="81"/>
      <c r="AK276" s="75"/>
      <c r="AL276" s="75"/>
    </row>
    <row r="277" spans="1:38" ht="15.75" hidden="1" thickBot="1" x14ac:dyDescent="0.3">
      <c r="A277" s="75"/>
      <c r="B277" s="75"/>
      <c r="C277" s="35">
        <f>INDEX(Données!$F$2:$L$54,MATCH(F277,Données!$F$2:$F$54,0),2)</f>
        <v>44137</v>
      </c>
      <c r="D277" s="29" t="str">
        <f t="shared" si="8"/>
        <v>#1</v>
      </c>
      <c r="E277" s="7">
        <f>Données!L46</f>
        <v>44142</v>
      </c>
      <c r="F277" s="6" t="str">
        <f>INDEX(Données!$F$2:$L$54,MATCH('#1'!E277,Données!$G$2:$G$54,1),1)</f>
        <v>45</v>
      </c>
      <c r="G277" s="18" t="str">
        <f t="shared" si="9"/>
        <v>PS-1</v>
      </c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1"/>
      <c r="W277" s="75"/>
      <c r="X277" s="75"/>
      <c r="Y277" s="75"/>
      <c r="Z277" s="96">
        <f>SUM(Tableau13[[#This Row],[A-1]:[G-5]])</f>
        <v>0</v>
      </c>
      <c r="AA277" s="96" t="str">
        <f>IF(AND(Z277&gt;0,Tableau13[[#This Row],[CDS]]=""),"Oui","Non")</f>
        <v>Non</v>
      </c>
      <c r="AB277" s="75"/>
      <c r="AC277" s="75"/>
      <c r="AD277" s="75"/>
      <c r="AE277" s="75"/>
      <c r="AF277" s="75"/>
      <c r="AG277" s="75"/>
      <c r="AH277" s="75"/>
      <c r="AI277" s="75"/>
      <c r="AJ277" s="81"/>
      <c r="AK277" s="75"/>
      <c r="AL277" s="75"/>
    </row>
    <row r="278" spans="1:38" ht="15.75" hidden="1" thickBot="1" x14ac:dyDescent="0.3">
      <c r="A278" s="75"/>
      <c r="B278" s="75"/>
      <c r="C278" s="35">
        <f>INDEX(Données!$F$2:$L$54,MATCH(F278,Données!$F$2:$F$54,0),2)</f>
        <v>44144</v>
      </c>
      <c r="D278" s="29" t="str">
        <f t="shared" si="8"/>
        <v>#1</v>
      </c>
      <c r="E278" s="7">
        <f>Données!G47</f>
        <v>44144</v>
      </c>
      <c r="F278" s="6" t="str">
        <f>INDEX(Données!$F$2:$L$54,MATCH('#1'!E278,Données!$G$2:$G$54,1),1)</f>
        <v>46</v>
      </c>
      <c r="G278" s="18" t="str">
        <f t="shared" si="9"/>
        <v>PS-1</v>
      </c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1"/>
      <c r="W278" s="75"/>
      <c r="X278" s="75"/>
      <c r="Y278" s="75"/>
      <c r="Z278" s="96">
        <f>SUM(Tableau13[[#This Row],[A-1]:[G-5]])</f>
        <v>0</v>
      </c>
      <c r="AA278" s="96" t="str">
        <f>IF(AND(Z278&gt;0,Tableau13[[#This Row],[CDS]]=""),"Oui","Non")</f>
        <v>Non</v>
      </c>
      <c r="AB278" s="75"/>
      <c r="AC278" s="75"/>
      <c r="AD278" s="75"/>
      <c r="AE278" s="75"/>
      <c r="AF278" s="75"/>
      <c r="AG278" s="75"/>
      <c r="AH278" s="75"/>
      <c r="AI278" s="75"/>
      <c r="AJ278" s="81"/>
      <c r="AK278" s="75"/>
      <c r="AL278" s="75"/>
    </row>
    <row r="279" spans="1:38" ht="15.75" hidden="1" thickBot="1" x14ac:dyDescent="0.3">
      <c r="A279" s="75"/>
      <c r="B279" s="75"/>
      <c r="C279" s="35">
        <f>INDEX(Données!$F$2:$L$54,MATCH(F279,Données!$F$2:$F$54,0),2)</f>
        <v>44144</v>
      </c>
      <c r="D279" s="29" t="str">
        <f t="shared" si="8"/>
        <v>#1</v>
      </c>
      <c r="E279" s="7">
        <f>Données!H47</f>
        <v>44145</v>
      </c>
      <c r="F279" s="6" t="str">
        <f>INDEX(Données!$F$2:$L$54,MATCH('#1'!E279,Données!$G$2:$G$54,1),1)</f>
        <v>46</v>
      </c>
      <c r="G279" s="18" t="str">
        <f t="shared" si="9"/>
        <v>PS-1</v>
      </c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1"/>
      <c r="W279" s="75"/>
      <c r="X279" s="75"/>
      <c r="Y279" s="75"/>
      <c r="Z279" s="96">
        <f>SUM(Tableau13[[#This Row],[A-1]:[G-5]])</f>
        <v>0</v>
      </c>
      <c r="AA279" s="96" t="str">
        <f>IF(AND(Z279&gt;0,Tableau13[[#This Row],[CDS]]=""),"Oui","Non")</f>
        <v>Non</v>
      </c>
      <c r="AB279" s="75"/>
      <c r="AC279" s="75"/>
      <c r="AD279" s="75"/>
      <c r="AE279" s="75"/>
      <c r="AF279" s="75"/>
      <c r="AG279" s="75"/>
      <c r="AH279" s="75"/>
      <c r="AI279" s="75"/>
      <c r="AJ279" s="81"/>
      <c r="AK279" s="75"/>
      <c r="AL279" s="75"/>
    </row>
    <row r="280" spans="1:38" ht="15.75" hidden="1" thickBot="1" x14ac:dyDescent="0.3">
      <c r="A280" s="75"/>
      <c r="B280" s="75"/>
      <c r="C280" s="35">
        <f>INDEX(Données!$F$2:$L$54,MATCH(F280,Données!$F$2:$F$54,0),2)</f>
        <v>44144</v>
      </c>
      <c r="D280" s="29" t="str">
        <f t="shared" si="8"/>
        <v>#1</v>
      </c>
      <c r="E280" s="7">
        <f>Données!I47</f>
        <v>44146</v>
      </c>
      <c r="F280" s="6" t="str">
        <f>INDEX(Données!$F$2:$L$54,MATCH('#1'!E280,Données!$G$2:$G$54,1),1)</f>
        <v>46</v>
      </c>
      <c r="G280" s="18" t="str">
        <f t="shared" si="9"/>
        <v>PS-1</v>
      </c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1"/>
      <c r="W280" s="75"/>
      <c r="X280" s="75"/>
      <c r="Y280" s="75"/>
      <c r="Z280" s="96">
        <f>SUM(Tableau13[[#This Row],[A-1]:[G-5]])</f>
        <v>0</v>
      </c>
      <c r="AA280" s="96" t="str">
        <f>IF(AND(Z280&gt;0,Tableau13[[#This Row],[CDS]]=""),"Oui","Non")</f>
        <v>Non</v>
      </c>
      <c r="AB280" s="75"/>
      <c r="AC280" s="75"/>
      <c r="AD280" s="75"/>
      <c r="AE280" s="75"/>
      <c r="AF280" s="75"/>
      <c r="AG280" s="75"/>
      <c r="AH280" s="75"/>
      <c r="AI280" s="75"/>
      <c r="AJ280" s="81"/>
      <c r="AK280" s="75"/>
      <c r="AL280" s="75"/>
    </row>
    <row r="281" spans="1:38" ht="15.75" hidden="1" thickBot="1" x14ac:dyDescent="0.3">
      <c r="A281" s="75"/>
      <c r="B281" s="75"/>
      <c r="C281" s="35">
        <f>INDEX(Données!$F$2:$L$54,MATCH(F281,Données!$F$2:$F$54,0),2)</f>
        <v>44144</v>
      </c>
      <c r="D281" s="29" t="str">
        <f t="shared" si="8"/>
        <v>#1</v>
      </c>
      <c r="E281" s="7">
        <f>Données!J47</f>
        <v>44147</v>
      </c>
      <c r="F281" s="6" t="str">
        <f>INDEX(Données!$F$2:$L$54,MATCH('#1'!E281,Données!$G$2:$G$54,1),1)</f>
        <v>46</v>
      </c>
      <c r="G281" s="18" t="str">
        <f t="shared" si="9"/>
        <v>PS-1</v>
      </c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1"/>
      <c r="W281" s="75"/>
      <c r="X281" s="75"/>
      <c r="Y281" s="75"/>
      <c r="Z281" s="96">
        <f>SUM(Tableau13[[#This Row],[A-1]:[G-5]])</f>
        <v>0</v>
      </c>
      <c r="AA281" s="96" t="str">
        <f>IF(AND(Z281&gt;0,Tableau13[[#This Row],[CDS]]=""),"Oui","Non")</f>
        <v>Non</v>
      </c>
      <c r="AB281" s="75"/>
      <c r="AC281" s="75"/>
      <c r="AD281" s="75"/>
      <c r="AE281" s="75"/>
      <c r="AF281" s="75"/>
      <c r="AG281" s="75"/>
      <c r="AH281" s="75"/>
      <c r="AI281" s="75"/>
      <c r="AJ281" s="81"/>
      <c r="AK281" s="75"/>
      <c r="AL281" s="75"/>
    </row>
    <row r="282" spans="1:38" ht="15.75" hidden="1" thickBot="1" x14ac:dyDescent="0.3">
      <c r="A282" s="75"/>
      <c r="B282" s="75"/>
      <c r="C282" s="35">
        <f>INDEX(Données!$F$2:$L$54,MATCH(F282,Données!$F$2:$F$54,0),2)</f>
        <v>44144</v>
      </c>
      <c r="D282" s="29" t="str">
        <f t="shared" si="8"/>
        <v>#1</v>
      </c>
      <c r="E282" s="7">
        <f>Données!K47</f>
        <v>44148</v>
      </c>
      <c r="F282" s="6" t="str">
        <f>INDEX(Données!$F$2:$L$54,MATCH('#1'!E282,Données!$G$2:$G$54,1),1)</f>
        <v>46</v>
      </c>
      <c r="G282" s="18" t="str">
        <f t="shared" si="9"/>
        <v>PS-1</v>
      </c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1"/>
      <c r="W282" s="75"/>
      <c r="X282" s="75"/>
      <c r="Y282" s="75"/>
      <c r="Z282" s="96">
        <f>SUM(Tableau13[[#This Row],[A-1]:[G-5]])</f>
        <v>0</v>
      </c>
      <c r="AA282" s="96" t="str">
        <f>IF(AND(Z282&gt;0,Tableau13[[#This Row],[CDS]]=""),"Oui","Non")</f>
        <v>Non</v>
      </c>
      <c r="AB282" s="75"/>
      <c r="AC282" s="75"/>
      <c r="AD282" s="75"/>
      <c r="AE282" s="75"/>
      <c r="AF282" s="75"/>
      <c r="AG282" s="75"/>
      <c r="AH282" s="75"/>
      <c r="AI282" s="75"/>
      <c r="AJ282" s="81"/>
      <c r="AK282" s="75"/>
      <c r="AL282" s="75"/>
    </row>
    <row r="283" spans="1:38" ht="15.75" hidden="1" thickBot="1" x14ac:dyDescent="0.3">
      <c r="A283" s="75"/>
      <c r="B283" s="75"/>
      <c r="C283" s="35">
        <f>INDEX(Données!$F$2:$L$54,MATCH(F283,Données!$F$2:$F$54,0),2)</f>
        <v>44144</v>
      </c>
      <c r="D283" s="29" t="str">
        <f t="shared" si="8"/>
        <v>#1</v>
      </c>
      <c r="E283" s="7">
        <f>Données!L47</f>
        <v>44149</v>
      </c>
      <c r="F283" s="6" t="str">
        <f>INDEX(Données!$F$2:$L$54,MATCH('#1'!E283,Données!$G$2:$G$54,1),1)</f>
        <v>46</v>
      </c>
      <c r="G283" s="18" t="str">
        <f t="shared" si="9"/>
        <v>PS-1</v>
      </c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1"/>
      <c r="W283" s="75"/>
      <c r="X283" s="75"/>
      <c r="Y283" s="75"/>
      <c r="Z283" s="96">
        <f>SUM(Tableau13[[#This Row],[A-1]:[G-5]])</f>
        <v>0</v>
      </c>
      <c r="AA283" s="96" t="str">
        <f>IF(AND(Z283&gt;0,Tableau13[[#This Row],[CDS]]=""),"Oui","Non")</f>
        <v>Non</v>
      </c>
      <c r="AB283" s="75"/>
      <c r="AC283" s="75"/>
      <c r="AD283" s="75"/>
      <c r="AE283" s="75"/>
      <c r="AF283" s="75"/>
      <c r="AG283" s="75"/>
      <c r="AH283" s="75"/>
      <c r="AI283" s="75"/>
      <c r="AJ283" s="81"/>
      <c r="AK283" s="75"/>
      <c r="AL283" s="75"/>
    </row>
    <row r="284" spans="1:38" ht="15.75" hidden="1" thickBot="1" x14ac:dyDescent="0.3">
      <c r="A284" s="75"/>
      <c r="B284" s="75"/>
      <c r="C284" s="35">
        <f>INDEX(Données!$F$2:$L$54,MATCH(F284,Données!$F$2:$F$54,0),2)</f>
        <v>44151</v>
      </c>
      <c r="D284" s="29" t="str">
        <f t="shared" si="8"/>
        <v>#1</v>
      </c>
      <c r="E284" s="7">
        <f>Données!G48</f>
        <v>44151</v>
      </c>
      <c r="F284" s="6" t="str">
        <f>INDEX(Données!$F$2:$L$54,MATCH('#1'!E284,Données!$G$2:$G$54,1),1)</f>
        <v>47</v>
      </c>
      <c r="G284" s="18" t="str">
        <f t="shared" si="9"/>
        <v>PS-1</v>
      </c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1"/>
      <c r="W284" s="75"/>
      <c r="X284" s="75"/>
      <c r="Y284" s="75"/>
      <c r="Z284" s="96">
        <f>SUM(Tableau13[[#This Row],[A-1]:[G-5]])</f>
        <v>0</v>
      </c>
      <c r="AA284" s="96" t="str">
        <f>IF(AND(Z284&gt;0,Tableau13[[#This Row],[CDS]]=""),"Oui","Non")</f>
        <v>Non</v>
      </c>
      <c r="AB284" s="75"/>
      <c r="AC284" s="75"/>
      <c r="AD284" s="75"/>
      <c r="AE284" s="75"/>
      <c r="AF284" s="75"/>
      <c r="AG284" s="75"/>
      <c r="AH284" s="75"/>
      <c r="AI284" s="75"/>
      <c r="AJ284" s="81"/>
      <c r="AK284" s="75"/>
      <c r="AL284" s="75"/>
    </row>
    <row r="285" spans="1:38" ht="15.75" hidden="1" thickBot="1" x14ac:dyDescent="0.3">
      <c r="A285" s="75"/>
      <c r="B285" s="75"/>
      <c r="C285" s="35">
        <f>INDEX(Données!$F$2:$L$54,MATCH(F285,Données!$F$2:$F$54,0),2)</f>
        <v>44151</v>
      </c>
      <c r="D285" s="29" t="str">
        <f t="shared" si="8"/>
        <v>#1</v>
      </c>
      <c r="E285" s="7">
        <f>Données!H48</f>
        <v>44152</v>
      </c>
      <c r="F285" s="6" t="str">
        <f>INDEX(Données!$F$2:$L$54,MATCH('#1'!E285,Données!$G$2:$G$54,1),1)</f>
        <v>47</v>
      </c>
      <c r="G285" s="18" t="str">
        <f t="shared" si="9"/>
        <v>PS-1</v>
      </c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1"/>
      <c r="W285" s="75"/>
      <c r="X285" s="75"/>
      <c r="Y285" s="75"/>
      <c r="Z285" s="96">
        <f>SUM(Tableau13[[#This Row],[A-1]:[G-5]])</f>
        <v>0</v>
      </c>
      <c r="AA285" s="96" t="str">
        <f>IF(AND(Z285&gt;0,Tableau13[[#This Row],[CDS]]=""),"Oui","Non")</f>
        <v>Non</v>
      </c>
      <c r="AB285" s="75"/>
      <c r="AC285" s="75"/>
      <c r="AD285" s="75"/>
      <c r="AE285" s="75"/>
      <c r="AF285" s="75"/>
      <c r="AG285" s="75"/>
      <c r="AH285" s="75"/>
      <c r="AI285" s="75"/>
      <c r="AJ285" s="81"/>
      <c r="AK285" s="75"/>
      <c r="AL285" s="75"/>
    </row>
    <row r="286" spans="1:38" ht="15.75" hidden="1" thickBot="1" x14ac:dyDescent="0.3">
      <c r="A286" s="75"/>
      <c r="B286" s="75"/>
      <c r="C286" s="35">
        <f>INDEX(Données!$F$2:$L$54,MATCH(F286,Données!$F$2:$F$54,0),2)</f>
        <v>44151</v>
      </c>
      <c r="D286" s="29" t="str">
        <f t="shared" si="8"/>
        <v>#1</v>
      </c>
      <c r="E286" s="7">
        <f>Données!I48</f>
        <v>44153</v>
      </c>
      <c r="F286" s="6" t="str">
        <f>INDEX(Données!$F$2:$L$54,MATCH('#1'!E286,Données!$G$2:$G$54,1),1)</f>
        <v>47</v>
      </c>
      <c r="G286" s="18" t="str">
        <f t="shared" si="9"/>
        <v>PS-1</v>
      </c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1"/>
      <c r="W286" s="75"/>
      <c r="X286" s="75"/>
      <c r="Y286" s="75"/>
      <c r="Z286" s="96">
        <f>SUM(Tableau13[[#This Row],[A-1]:[G-5]])</f>
        <v>0</v>
      </c>
      <c r="AA286" s="96" t="str">
        <f>IF(AND(Z286&gt;0,Tableau13[[#This Row],[CDS]]=""),"Oui","Non")</f>
        <v>Non</v>
      </c>
      <c r="AB286" s="75"/>
      <c r="AC286" s="75"/>
      <c r="AD286" s="75"/>
      <c r="AE286" s="75"/>
      <c r="AF286" s="75"/>
      <c r="AG286" s="75"/>
      <c r="AH286" s="75"/>
      <c r="AI286" s="75"/>
      <c r="AJ286" s="81"/>
      <c r="AK286" s="75"/>
      <c r="AL286" s="75"/>
    </row>
    <row r="287" spans="1:38" ht="15.75" hidden="1" thickBot="1" x14ac:dyDescent="0.3">
      <c r="A287" s="75"/>
      <c r="B287" s="75"/>
      <c r="C287" s="35">
        <f>INDEX(Données!$F$2:$L$54,MATCH(F287,Données!$F$2:$F$54,0),2)</f>
        <v>44151</v>
      </c>
      <c r="D287" s="29" t="str">
        <f t="shared" si="8"/>
        <v>#1</v>
      </c>
      <c r="E287" s="7">
        <f>Données!J48</f>
        <v>44154</v>
      </c>
      <c r="F287" s="6" t="str">
        <f>INDEX(Données!$F$2:$L$54,MATCH('#1'!E287,Données!$G$2:$G$54,1),1)</f>
        <v>47</v>
      </c>
      <c r="G287" s="18" t="str">
        <f t="shared" si="9"/>
        <v>PS-1</v>
      </c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1"/>
      <c r="W287" s="75"/>
      <c r="X287" s="75"/>
      <c r="Y287" s="75"/>
      <c r="Z287" s="96">
        <f>SUM(Tableau13[[#This Row],[A-1]:[G-5]])</f>
        <v>0</v>
      </c>
      <c r="AA287" s="96" t="str">
        <f>IF(AND(Z287&gt;0,Tableau13[[#This Row],[CDS]]=""),"Oui","Non")</f>
        <v>Non</v>
      </c>
      <c r="AB287" s="75"/>
      <c r="AC287" s="75"/>
      <c r="AD287" s="75"/>
      <c r="AE287" s="75"/>
      <c r="AF287" s="75"/>
      <c r="AG287" s="75"/>
      <c r="AH287" s="75"/>
      <c r="AI287" s="75"/>
      <c r="AJ287" s="81"/>
      <c r="AK287" s="75"/>
      <c r="AL287" s="75"/>
    </row>
    <row r="288" spans="1:38" ht="15.75" hidden="1" thickBot="1" x14ac:dyDescent="0.3">
      <c r="A288" s="75"/>
      <c r="B288" s="75"/>
      <c r="C288" s="35">
        <f>INDEX(Données!$F$2:$L$54,MATCH(F288,Données!$F$2:$F$54,0),2)</f>
        <v>44151</v>
      </c>
      <c r="D288" s="29" t="str">
        <f t="shared" si="8"/>
        <v>#1</v>
      </c>
      <c r="E288" s="7">
        <f>Données!K48</f>
        <v>44155</v>
      </c>
      <c r="F288" s="6" t="str">
        <f>INDEX(Données!$F$2:$L$54,MATCH('#1'!E288,Données!$G$2:$G$54,1),1)</f>
        <v>47</v>
      </c>
      <c r="G288" s="18" t="str">
        <f t="shared" si="9"/>
        <v>PS-1</v>
      </c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1"/>
      <c r="W288" s="75"/>
      <c r="X288" s="75"/>
      <c r="Y288" s="75"/>
      <c r="Z288" s="96">
        <f>SUM(Tableau13[[#This Row],[A-1]:[G-5]])</f>
        <v>0</v>
      </c>
      <c r="AA288" s="96" t="str">
        <f>IF(AND(Z288&gt;0,Tableau13[[#This Row],[CDS]]=""),"Oui","Non")</f>
        <v>Non</v>
      </c>
      <c r="AB288" s="75"/>
      <c r="AC288" s="75"/>
      <c r="AD288" s="75"/>
      <c r="AE288" s="75"/>
      <c r="AF288" s="75"/>
      <c r="AG288" s="75"/>
      <c r="AH288" s="75"/>
      <c r="AI288" s="75"/>
      <c r="AJ288" s="81"/>
      <c r="AK288" s="75"/>
      <c r="AL288" s="75"/>
    </row>
    <row r="289" spans="1:38" ht="15.75" hidden="1" thickBot="1" x14ac:dyDescent="0.3">
      <c r="A289" s="75"/>
      <c r="B289" s="75"/>
      <c r="C289" s="35">
        <f>INDEX(Données!$F$2:$L$54,MATCH(F289,Données!$F$2:$F$54,0),2)</f>
        <v>44151</v>
      </c>
      <c r="D289" s="29" t="str">
        <f t="shared" si="8"/>
        <v>#1</v>
      </c>
      <c r="E289" s="7">
        <f>Données!L48</f>
        <v>44156</v>
      </c>
      <c r="F289" s="6" t="str">
        <f>INDEX(Données!$F$2:$L$54,MATCH('#1'!E289,Données!$G$2:$G$54,1),1)</f>
        <v>47</v>
      </c>
      <c r="G289" s="18" t="str">
        <f t="shared" si="9"/>
        <v>PS-1</v>
      </c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1"/>
      <c r="W289" s="75"/>
      <c r="X289" s="75"/>
      <c r="Y289" s="75"/>
      <c r="Z289" s="96">
        <f>SUM(Tableau13[[#This Row],[A-1]:[G-5]])</f>
        <v>0</v>
      </c>
      <c r="AA289" s="96" t="str">
        <f>IF(AND(Z289&gt;0,Tableau13[[#This Row],[CDS]]=""),"Oui","Non")</f>
        <v>Non</v>
      </c>
      <c r="AB289" s="75"/>
      <c r="AC289" s="75"/>
      <c r="AD289" s="75"/>
      <c r="AE289" s="75"/>
      <c r="AF289" s="75"/>
      <c r="AG289" s="75"/>
      <c r="AH289" s="75"/>
      <c r="AI289" s="75"/>
      <c r="AJ289" s="81"/>
      <c r="AK289" s="75"/>
      <c r="AL289" s="75"/>
    </row>
    <row r="290" spans="1:38" ht="15.75" hidden="1" thickBot="1" x14ac:dyDescent="0.3">
      <c r="A290" s="75"/>
      <c r="B290" s="75"/>
      <c r="C290" s="35">
        <f>INDEX(Données!$F$2:$L$54,MATCH(F290,Données!$F$2:$F$54,0),2)</f>
        <v>44158</v>
      </c>
      <c r="D290" s="29" t="str">
        <f t="shared" si="8"/>
        <v>#1</v>
      </c>
      <c r="E290" s="7">
        <f>Données!G49</f>
        <v>44158</v>
      </c>
      <c r="F290" s="6" t="str">
        <f>INDEX(Données!$F$2:$L$54,MATCH('#1'!E290,Données!$G$2:$G$54,1),1)</f>
        <v>48</v>
      </c>
      <c r="G290" s="18" t="str">
        <f t="shared" si="9"/>
        <v>PS-1</v>
      </c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1"/>
      <c r="W290" s="75"/>
      <c r="X290" s="75"/>
      <c r="Y290" s="75"/>
      <c r="Z290" s="96">
        <f>SUM(Tableau13[[#This Row],[A-1]:[G-5]])</f>
        <v>0</v>
      </c>
      <c r="AA290" s="96" t="str">
        <f>IF(AND(Z290&gt;0,Tableau13[[#This Row],[CDS]]=""),"Oui","Non")</f>
        <v>Non</v>
      </c>
      <c r="AB290" s="75"/>
      <c r="AC290" s="75"/>
      <c r="AD290" s="75"/>
      <c r="AE290" s="75"/>
      <c r="AF290" s="75"/>
      <c r="AG290" s="75"/>
      <c r="AH290" s="75"/>
      <c r="AI290" s="75"/>
      <c r="AJ290" s="81"/>
      <c r="AK290" s="75"/>
      <c r="AL290" s="75"/>
    </row>
    <row r="291" spans="1:38" ht="15.75" hidden="1" thickBot="1" x14ac:dyDescent="0.3">
      <c r="A291" s="75"/>
      <c r="B291" s="75"/>
      <c r="C291" s="35">
        <f>INDEX(Données!$F$2:$L$54,MATCH(F291,Données!$F$2:$F$54,0),2)</f>
        <v>44158</v>
      </c>
      <c r="D291" s="29" t="str">
        <f t="shared" si="8"/>
        <v>#1</v>
      </c>
      <c r="E291" s="7">
        <f>Données!H49</f>
        <v>44159</v>
      </c>
      <c r="F291" s="6" t="str">
        <f>INDEX(Données!$F$2:$L$54,MATCH('#1'!E291,Données!$G$2:$G$54,1),1)</f>
        <v>48</v>
      </c>
      <c r="G291" s="18" t="str">
        <f t="shared" si="9"/>
        <v>PS-1</v>
      </c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1"/>
      <c r="W291" s="75"/>
      <c r="X291" s="75"/>
      <c r="Y291" s="75"/>
      <c r="Z291" s="96">
        <f>SUM(Tableau13[[#This Row],[A-1]:[G-5]])</f>
        <v>0</v>
      </c>
      <c r="AA291" s="96" t="str">
        <f>IF(AND(Z291&gt;0,Tableau13[[#This Row],[CDS]]=""),"Oui","Non")</f>
        <v>Non</v>
      </c>
      <c r="AB291" s="75"/>
      <c r="AC291" s="75"/>
      <c r="AD291" s="75"/>
      <c r="AE291" s="75"/>
      <c r="AF291" s="75"/>
      <c r="AG291" s="75"/>
      <c r="AH291" s="75"/>
      <c r="AI291" s="75"/>
      <c r="AJ291" s="81"/>
      <c r="AK291" s="75"/>
      <c r="AL291" s="75"/>
    </row>
    <row r="292" spans="1:38" ht="15.75" hidden="1" thickBot="1" x14ac:dyDescent="0.3">
      <c r="A292" s="75"/>
      <c r="B292" s="75"/>
      <c r="C292" s="35">
        <f>INDEX(Données!$F$2:$L$54,MATCH(F292,Données!$F$2:$F$54,0),2)</f>
        <v>44158</v>
      </c>
      <c r="D292" s="29" t="str">
        <f t="shared" si="8"/>
        <v>#1</v>
      </c>
      <c r="E292" s="7">
        <f>Données!I49</f>
        <v>44160</v>
      </c>
      <c r="F292" s="6" t="str">
        <f>INDEX(Données!$F$2:$L$54,MATCH('#1'!E292,Données!$G$2:$G$54,1),1)</f>
        <v>48</v>
      </c>
      <c r="G292" s="18" t="str">
        <f t="shared" si="9"/>
        <v>PS-1</v>
      </c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1"/>
      <c r="W292" s="75"/>
      <c r="X292" s="75"/>
      <c r="Y292" s="75"/>
      <c r="Z292" s="96">
        <f>SUM(Tableau13[[#This Row],[A-1]:[G-5]])</f>
        <v>0</v>
      </c>
      <c r="AA292" s="96" t="str">
        <f>IF(AND(Z292&gt;0,Tableau13[[#This Row],[CDS]]=""),"Oui","Non")</f>
        <v>Non</v>
      </c>
      <c r="AB292" s="75"/>
      <c r="AC292" s="75"/>
      <c r="AD292" s="75"/>
      <c r="AE292" s="75"/>
      <c r="AF292" s="75"/>
      <c r="AG292" s="75"/>
      <c r="AH292" s="75"/>
      <c r="AI292" s="75"/>
      <c r="AJ292" s="81"/>
      <c r="AK292" s="75"/>
      <c r="AL292" s="75"/>
    </row>
    <row r="293" spans="1:38" ht="15.75" hidden="1" thickBot="1" x14ac:dyDescent="0.3">
      <c r="A293" s="75"/>
      <c r="B293" s="75"/>
      <c r="C293" s="35">
        <f>INDEX(Données!$F$2:$L$54,MATCH(F293,Données!$F$2:$F$54,0),2)</f>
        <v>44158</v>
      </c>
      <c r="D293" s="29" t="str">
        <f t="shared" si="8"/>
        <v>#1</v>
      </c>
      <c r="E293" s="7">
        <f>Données!J49</f>
        <v>44161</v>
      </c>
      <c r="F293" s="6" t="str">
        <f>INDEX(Données!$F$2:$L$54,MATCH('#1'!E293,Données!$G$2:$G$54,1),1)</f>
        <v>48</v>
      </c>
      <c r="G293" s="18" t="str">
        <f t="shared" si="9"/>
        <v>PS-1</v>
      </c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1"/>
      <c r="W293" s="75"/>
      <c r="X293" s="75"/>
      <c r="Y293" s="75"/>
      <c r="Z293" s="96">
        <f>SUM(Tableau13[[#This Row],[A-1]:[G-5]])</f>
        <v>0</v>
      </c>
      <c r="AA293" s="96" t="str">
        <f>IF(AND(Z293&gt;0,Tableau13[[#This Row],[CDS]]=""),"Oui","Non")</f>
        <v>Non</v>
      </c>
      <c r="AB293" s="75"/>
      <c r="AC293" s="75"/>
      <c r="AD293" s="75"/>
      <c r="AE293" s="75"/>
      <c r="AF293" s="75"/>
      <c r="AG293" s="75"/>
      <c r="AH293" s="75"/>
      <c r="AI293" s="75"/>
      <c r="AJ293" s="81"/>
      <c r="AK293" s="75"/>
      <c r="AL293" s="75"/>
    </row>
    <row r="294" spans="1:38" ht="15.75" hidden="1" thickBot="1" x14ac:dyDescent="0.3">
      <c r="A294" s="75"/>
      <c r="B294" s="75"/>
      <c r="C294" s="35">
        <f>INDEX(Données!$F$2:$L$54,MATCH(F294,Données!$F$2:$F$54,0),2)</f>
        <v>44158</v>
      </c>
      <c r="D294" s="29" t="str">
        <f t="shared" si="8"/>
        <v>#1</v>
      </c>
      <c r="E294" s="7">
        <f>Données!K49</f>
        <v>44162</v>
      </c>
      <c r="F294" s="6" t="str">
        <f>INDEX(Données!$F$2:$L$54,MATCH('#1'!E294,Données!$G$2:$G$54,1),1)</f>
        <v>48</v>
      </c>
      <c r="G294" s="18" t="str">
        <f t="shared" si="9"/>
        <v>PS-1</v>
      </c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1"/>
      <c r="W294" s="75"/>
      <c r="X294" s="75"/>
      <c r="Y294" s="75"/>
      <c r="Z294" s="96">
        <f>SUM(Tableau13[[#This Row],[A-1]:[G-5]])</f>
        <v>0</v>
      </c>
      <c r="AA294" s="96" t="str">
        <f>IF(AND(Z294&gt;0,Tableau13[[#This Row],[CDS]]=""),"Oui","Non")</f>
        <v>Non</v>
      </c>
      <c r="AB294" s="75"/>
      <c r="AC294" s="75"/>
      <c r="AD294" s="75"/>
      <c r="AE294" s="75"/>
      <c r="AF294" s="75"/>
      <c r="AG294" s="75"/>
      <c r="AH294" s="75"/>
      <c r="AI294" s="75"/>
      <c r="AJ294" s="81"/>
      <c r="AK294" s="75"/>
      <c r="AL294" s="75"/>
    </row>
    <row r="295" spans="1:38" ht="15.75" hidden="1" thickBot="1" x14ac:dyDescent="0.3">
      <c r="A295" s="75"/>
      <c r="B295" s="75"/>
      <c r="C295" s="35">
        <f>INDEX(Données!$F$2:$L$54,MATCH(F295,Données!$F$2:$F$54,0),2)</f>
        <v>44158</v>
      </c>
      <c r="D295" s="29" t="str">
        <f t="shared" si="8"/>
        <v>#1</v>
      </c>
      <c r="E295" s="7">
        <f>Données!L49</f>
        <v>44163</v>
      </c>
      <c r="F295" s="6" t="str">
        <f>INDEX(Données!$F$2:$L$54,MATCH('#1'!E295,Données!$G$2:$G$54,1),1)</f>
        <v>48</v>
      </c>
      <c r="G295" s="18" t="str">
        <f t="shared" si="9"/>
        <v>PS-1</v>
      </c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1"/>
      <c r="W295" s="75"/>
      <c r="X295" s="75"/>
      <c r="Y295" s="75"/>
      <c r="Z295" s="96">
        <f>SUM(Tableau13[[#This Row],[A-1]:[G-5]])</f>
        <v>0</v>
      </c>
      <c r="AA295" s="96" t="str">
        <f>IF(AND(Z295&gt;0,Tableau13[[#This Row],[CDS]]=""),"Oui","Non")</f>
        <v>Non</v>
      </c>
      <c r="AB295" s="75"/>
      <c r="AC295" s="75"/>
      <c r="AD295" s="75"/>
      <c r="AE295" s="75"/>
      <c r="AF295" s="75"/>
      <c r="AG295" s="75"/>
      <c r="AH295" s="75"/>
      <c r="AI295" s="75"/>
      <c r="AJ295" s="81"/>
      <c r="AK295" s="75"/>
      <c r="AL295" s="75"/>
    </row>
    <row r="296" spans="1:38" ht="15.75" hidden="1" thickBot="1" x14ac:dyDescent="0.3">
      <c r="A296" s="75"/>
      <c r="B296" s="75"/>
      <c r="C296" s="35">
        <f>INDEX(Données!$F$2:$L$54,MATCH(F296,Données!$F$2:$F$54,0),2)</f>
        <v>44165</v>
      </c>
      <c r="D296" s="29" t="str">
        <f t="shared" si="8"/>
        <v>#1</v>
      </c>
      <c r="E296" s="7">
        <f>Données!G50</f>
        <v>44165</v>
      </c>
      <c r="F296" s="6" t="str">
        <f>INDEX(Données!$F$2:$L$54,MATCH('#1'!E296,Données!$G$2:$G$54,1),1)</f>
        <v>49</v>
      </c>
      <c r="G296" s="18" t="str">
        <f t="shared" si="9"/>
        <v>PS-1</v>
      </c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1"/>
      <c r="W296" s="75"/>
      <c r="X296" s="75"/>
      <c r="Y296" s="75"/>
      <c r="Z296" s="96">
        <f>SUM(Tableau13[[#This Row],[A-1]:[G-5]])</f>
        <v>0</v>
      </c>
      <c r="AA296" s="96" t="str">
        <f>IF(AND(Z296&gt;0,Tableau13[[#This Row],[CDS]]=""),"Oui","Non")</f>
        <v>Non</v>
      </c>
      <c r="AB296" s="75"/>
      <c r="AC296" s="75"/>
      <c r="AD296" s="75"/>
      <c r="AE296" s="75"/>
      <c r="AF296" s="75"/>
      <c r="AG296" s="75"/>
      <c r="AH296" s="75"/>
      <c r="AI296" s="75"/>
      <c r="AJ296" s="81"/>
      <c r="AK296" s="75"/>
      <c r="AL296" s="75"/>
    </row>
    <row r="297" spans="1:38" ht="15.75" hidden="1" thickBot="1" x14ac:dyDescent="0.3">
      <c r="A297" s="75"/>
      <c r="B297" s="75"/>
      <c r="C297" s="35">
        <f>INDEX(Données!$F$2:$L$54,MATCH(F297,Données!$F$2:$F$54,0),2)</f>
        <v>44165</v>
      </c>
      <c r="D297" s="29" t="str">
        <f t="shared" si="8"/>
        <v>#1</v>
      </c>
      <c r="E297" s="7">
        <f>Données!H50</f>
        <v>44166</v>
      </c>
      <c r="F297" s="6" t="str">
        <f>INDEX(Données!$F$2:$L$54,MATCH('#1'!E297,Données!$G$2:$G$54,1),1)</f>
        <v>49</v>
      </c>
      <c r="G297" s="18" t="str">
        <f t="shared" si="9"/>
        <v>PS-1</v>
      </c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1"/>
      <c r="W297" s="75"/>
      <c r="X297" s="75"/>
      <c r="Y297" s="75"/>
      <c r="Z297" s="96">
        <f>SUM(Tableau13[[#This Row],[A-1]:[G-5]])</f>
        <v>0</v>
      </c>
      <c r="AA297" s="96" t="str">
        <f>IF(AND(Z297&gt;0,Tableau13[[#This Row],[CDS]]=""),"Oui","Non")</f>
        <v>Non</v>
      </c>
      <c r="AB297" s="75"/>
      <c r="AC297" s="75"/>
      <c r="AD297" s="75"/>
      <c r="AE297" s="75"/>
      <c r="AF297" s="75"/>
      <c r="AG297" s="75"/>
      <c r="AH297" s="75"/>
      <c r="AI297" s="75"/>
      <c r="AJ297" s="81"/>
      <c r="AK297" s="75"/>
      <c r="AL297" s="75"/>
    </row>
    <row r="298" spans="1:38" ht="15.75" hidden="1" thickBot="1" x14ac:dyDescent="0.3">
      <c r="A298" s="75"/>
      <c r="B298" s="75"/>
      <c r="C298" s="35">
        <f>INDEX(Données!$F$2:$L$54,MATCH(F298,Données!$F$2:$F$54,0),2)</f>
        <v>44165</v>
      </c>
      <c r="D298" s="29" t="str">
        <f t="shared" si="8"/>
        <v>#1</v>
      </c>
      <c r="E298" s="7">
        <f>Données!I50</f>
        <v>44167</v>
      </c>
      <c r="F298" s="6" t="str">
        <f>INDEX(Données!$F$2:$L$54,MATCH('#1'!E298,Données!$G$2:$G$54,1),1)</f>
        <v>49</v>
      </c>
      <c r="G298" s="18" t="str">
        <f t="shared" si="9"/>
        <v>PS-1</v>
      </c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1"/>
      <c r="W298" s="75"/>
      <c r="X298" s="75"/>
      <c r="Y298" s="75"/>
      <c r="Z298" s="96">
        <f>SUM(Tableau13[[#This Row],[A-1]:[G-5]])</f>
        <v>0</v>
      </c>
      <c r="AA298" s="96" t="str">
        <f>IF(AND(Z298&gt;0,Tableau13[[#This Row],[CDS]]=""),"Oui","Non")</f>
        <v>Non</v>
      </c>
      <c r="AB298" s="75"/>
      <c r="AC298" s="75"/>
      <c r="AD298" s="75"/>
      <c r="AE298" s="75"/>
      <c r="AF298" s="75"/>
      <c r="AG298" s="75"/>
      <c r="AH298" s="75"/>
      <c r="AI298" s="75"/>
      <c r="AJ298" s="81"/>
      <c r="AK298" s="75"/>
      <c r="AL298" s="75"/>
    </row>
    <row r="299" spans="1:38" ht="15.75" hidden="1" thickBot="1" x14ac:dyDescent="0.3">
      <c r="A299" s="75"/>
      <c r="B299" s="75"/>
      <c r="C299" s="35">
        <f>INDEX(Données!$F$2:$L$54,MATCH(F299,Données!$F$2:$F$54,0),2)</f>
        <v>44165</v>
      </c>
      <c r="D299" s="29" t="str">
        <f t="shared" si="8"/>
        <v>#1</v>
      </c>
      <c r="E299" s="7">
        <f>Données!J50</f>
        <v>44168</v>
      </c>
      <c r="F299" s="6" t="str">
        <f>INDEX(Données!$F$2:$L$54,MATCH('#1'!E299,Données!$G$2:$G$54,1),1)</f>
        <v>49</v>
      </c>
      <c r="G299" s="18" t="str">
        <f t="shared" si="9"/>
        <v>PS-1</v>
      </c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1"/>
      <c r="W299" s="75"/>
      <c r="X299" s="75"/>
      <c r="Y299" s="75"/>
      <c r="Z299" s="96">
        <f>SUM(Tableau13[[#This Row],[A-1]:[G-5]])</f>
        <v>0</v>
      </c>
      <c r="AA299" s="96" t="str">
        <f>IF(AND(Z299&gt;0,Tableau13[[#This Row],[CDS]]=""),"Oui","Non")</f>
        <v>Non</v>
      </c>
      <c r="AB299" s="75"/>
      <c r="AC299" s="75"/>
      <c r="AD299" s="75"/>
      <c r="AE299" s="75"/>
      <c r="AF299" s="75"/>
      <c r="AG299" s="75"/>
      <c r="AH299" s="75"/>
      <c r="AI299" s="75"/>
      <c r="AJ299" s="81"/>
      <c r="AK299" s="75"/>
      <c r="AL299" s="75"/>
    </row>
    <row r="300" spans="1:38" ht="15.75" hidden="1" thickBot="1" x14ac:dyDescent="0.3">
      <c r="A300" s="75"/>
      <c r="B300" s="75"/>
      <c r="C300" s="35">
        <f>INDEX(Données!$F$2:$L$54,MATCH(F300,Données!$F$2:$F$54,0),2)</f>
        <v>44165</v>
      </c>
      <c r="D300" s="29" t="str">
        <f t="shared" si="8"/>
        <v>#1</v>
      </c>
      <c r="E300" s="7">
        <f>Données!K50</f>
        <v>44169</v>
      </c>
      <c r="F300" s="6" t="str">
        <f>INDEX(Données!$F$2:$L$54,MATCH('#1'!E300,Données!$G$2:$G$54,1),1)</f>
        <v>49</v>
      </c>
      <c r="G300" s="18" t="str">
        <f t="shared" si="9"/>
        <v>PS-1</v>
      </c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1"/>
      <c r="W300" s="75"/>
      <c r="X300" s="75"/>
      <c r="Y300" s="75"/>
      <c r="Z300" s="96">
        <f>SUM(Tableau13[[#This Row],[A-1]:[G-5]])</f>
        <v>0</v>
      </c>
      <c r="AA300" s="96" t="str">
        <f>IF(AND(Z300&gt;0,Tableau13[[#This Row],[CDS]]=""),"Oui","Non")</f>
        <v>Non</v>
      </c>
      <c r="AB300" s="75"/>
      <c r="AC300" s="75"/>
      <c r="AD300" s="75"/>
      <c r="AE300" s="75"/>
      <c r="AF300" s="75"/>
      <c r="AG300" s="75"/>
      <c r="AH300" s="75"/>
      <c r="AI300" s="75"/>
      <c r="AJ300" s="81"/>
      <c r="AK300" s="75"/>
      <c r="AL300" s="75"/>
    </row>
    <row r="301" spans="1:38" ht="15.75" hidden="1" thickBot="1" x14ac:dyDescent="0.3">
      <c r="A301" s="75"/>
      <c r="B301" s="75"/>
      <c r="C301" s="35">
        <f>INDEX(Données!$F$2:$L$54,MATCH(F301,Données!$F$2:$F$54,0),2)</f>
        <v>44165</v>
      </c>
      <c r="D301" s="29" t="str">
        <f t="shared" si="8"/>
        <v>#1</v>
      </c>
      <c r="E301" s="7">
        <f>Données!L50</f>
        <v>44170</v>
      </c>
      <c r="F301" s="6" t="str">
        <f>INDEX(Données!$F$2:$L$54,MATCH('#1'!E301,Données!$G$2:$G$54,1),1)</f>
        <v>49</v>
      </c>
      <c r="G301" s="18" t="str">
        <f t="shared" si="9"/>
        <v>PS-1</v>
      </c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1"/>
      <c r="W301" s="75"/>
      <c r="X301" s="75"/>
      <c r="Y301" s="75"/>
      <c r="Z301" s="96">
        <f>SUM(Tableau13[[#This Row],[A-1]:[G-5]])</f>
        <v>0</v>
      </c>
      <c r="AA301" s="96" t="str">
        <f>IF(AND(Z301&gt;0,Tableau13[[#This Row],[CDS]]=""),"Oui","Non")</f>
        <v>Non</v>
      </c>
      <c r="AB301" s="75"/>
      <c r="AC301" s="75"/>
      <c r="AD301" s="75"/>
      <c r="AE301" s="75"/>
      <c r="AF301" s="75"/>
      <c r="AG301" s="75"/>
      <c r="AH301" s="75"/>
      <c r="AI301" s="75"/>
      <c r="AJ301" s="81"/>
      <c r="AK301" s="75"/>
      <c r="AL301" s="75"/>
    </row>
    <row r="302" spans="1:38" ht="15.75" hidden="1" thickBot="1" x14ac:dyDescent="0.3">
      <c r="A302" s="75"/>
      <c r="B302" s="75"/>
      <c r="C302" s="35">
        <f>INDEX(Données!$F$2:$L$54,MATCH(F302,Données!$F$2:$F$54,0),2)</f>
        <v>44172</v>
      </c>
      <c r="D302" s="29" t="str">
        <f t="shared" si="8"/>
        <v>#1</v>
      </c>
      <c r="E302" s="7">
        <f>Données!G51</f>
        <v>44172</v>
      </c>
      <c r="F302" s="6" t="str">
        <f>INDEX(Données!$F$2:$L$54,MATCH('#1'!E302,Données!$G$2:$G$54,1),1)</f>
        <v>50</v>
      </c>
      <c r="G302" s="18" t="str">
        <f t="shared" si="9"/>
        <v>PS-1</v>
      </c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1"/>
      <c r="W302" s="75"/>
      <c r="X302" s="75"/>
      <c r="Y302" s="75"/>
      <c r="Z302" s="96">
        <f>SUM(Tableau13[[#This Row],[A-1]:[G-5]])</f>
        <v>0</v>
      </c>
      <c r="AA302" s="96" t="str">
        <f>IF(AND(Z302&gt;0,Tableau13[[#This Row],[CDS]]=""),"Oui","Non")</f>
        <v>Non</v>
      </c>
      <c r="AB302" s="75"/>
      <c r="AC302" s="75"/>
      <c r="AD302" s="75"/>
      <c r="AE302" s="75"/>
      <c r="AF302" s="75"/>
      <c r="AG302" s="75"/>
      <c r="AH302" s="75"/>
      <c r="AI302" s="75"/>
      <c r="AJ302" s="81"/>
      <c r="AK302" s="75"/>
      <c r="AL302" s="75"/>
    </row>
    <row r="303" spans="1:38" ht="15.75" hidden="1" thickBot="1" x14ac:dyDescent="0.3">
      <c r="A303" s="75"/>
      <c r="B303" s="75"/>
      <c r="C303" s="35">
        <f>INDEX(Données!$F$2:$L$54,MATCH(F303,Données!$F$2:$F$54,0),2)</f>
        <v>44172</v>
      </c>
      <c r="D303" s="29" t="str">
        <f t="shared" si="8"/>
        <v>#1</v>
      </c>
      <c r="E303" s="7">
        <f>Données!H51</f>
        <v>44173</v>
      </c>
      <c r="F303" s="6" t="str">
        <f>INDEX(Données!$F$2:$L$54,MATCH('#1'!E303,Données!$G$2:$G$54,1),1)</f>
        <v>50</v>
      </c>
      <c r="G303" s="18" t="str">
        <f t="shared" si="9"/>
        <v>PS-1</v>
      </c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1"/>
      <c r="W303" s="75"/>
      <c r="X303" s="75"/>
      <c r="Y303" s="75"/>
      <c r="Z303" s="96">
        <f>SUM(Tableau13[[#This Row],[A-1]:[G-5]])</f>
        <v>0</v>
      </c>
      <c r="AA303" s="96" t="str">
        <f>IF(AND(Z303&gt;0,Tableau13[[#This Row],[CDS]]=""),"Oui","Non")</f>
        <v>Non</v>
      </c>
      <c r="AB303" s="75"/>
      <c r="AC303" s="75"/>
      <c r="AD303" s="75"/>
      <c r="AE303" s="75"/>
      <c r="AF303" s="75"/>
      <c r="AG303" s="75"/>
      <c r="AH303" s="75"/>
      <c r="AI303" s="75"/>
      <c r="AJ303" s="81"/>
      <c r="AK303" s="75"/>
      <c r="AL303" s="75"/>
    </row>
    <row r="304" spans="1:38" ht="15.75" hidden="1" thickBot="1" x14ac:dyDescent="0.3">
      <c r="A304" s="75"/>
      <c r="B304" s="75"/>
      <c r="C304" s="35">
        <f>INDEX(Données!$F$2:$L$54,MATCH(F304,Données!$F$2:$F$54,0),2)</f>
        <v>44172</v>
      </c>
      <c r="D304" s="29" t="str">
        <f t="shared" si="8"/>
        <v>#1</v>
      </c>
      <c r="E304" s="7">
        <f>Données!I51</f>
        <v>44174</v>
      </c>
      <c r="F304" s="6" t="str">
        <f>INDEX(Données!$F$2:$L$54,MATCH('#1'!E304,Données!$G$2:$G$54,1),1)</f>
        <v>50</v>
      </c>
      <c r="G304" s="18" t="str">
        <f t="shared" si="9"/>
        <v>PS-1</v>
      </c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1"/>
      <c r="W304" s="75"/>
      <c r="X304" s="75"/>
      <c r="Y304" s="75"/>
      <c r="Z304" s="96">
        <f>SUM(Tableau13[[#This Row],[A-1]:[G-5]])</f>
        <v>0</v>
      </c>
      <c r="AA304" s="96" t="str">
        <f>IF(AND(Z304&gt;0,Tableau13[[#This Row],[CDS]]=""),"Oui","Non")</f>
        <v>Non</v>
      </c>
      <c r="AB304" s="75"/>
      <c r="AC304" s="75"/>
      <c r="AD304" s="75"/>
      <c r="AE304" s="75"/>
      <c r="AF304" s="75"/>
      <c r="AG304" s="75"/>
      <c r="AH304" s="75"/>
      <c r="AI304" s="75"/>
      <c r="AJ304" s="81"/>
      <c r="AK304" s="75"/>
      <c r="AL304" s="75"/>
    </row>
    <row r="305" spans="1:38" ht="15.75" hidden="1" thickBot="1" x14ac:dyDescent="0.3">
      <c r="A305" s="75"/>
      <c r="B305" s="75"/>
      <c r="C305" s="35">
        <f>INDEX(Données!$F$2:$L$54,MATCH(F305,Données!$F$2:$F$54,0),2)</f>
        <v>44172</v>
      </c>
      <c r="D305" s="29" t="str">
        <f t="shared" si="8"/>
        <v>#1</v>
      </c>
      <c r="E305" s="7">
        <f>Données!J51</f>
        <v>44175</v>
      </c>
      <c r="F305" s="6" t="str">
        <f>INDEX(Données!$F$2:$L$54,MATCH('#1'!E305,Données!$G$2:$G$54,1),1)</f>
        <v>50</v>
      </c>
      <c r="G305" s="18" t="str">
        <f t="shared" si="9"/>
        <v>PS-1</v>
      </c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1"/>
      <c r="W305" s="75"/>
      <c r="X305" s="75"/>
      <c r="Y305" s="75"/>
      <c r="Z305" s="96">
        <f>SUM(Tableau13[[#This Row],[A-1]:[G-5]])</f>
        <v>0</v>
      </c>
      <c r="AA305" s="96" t="str">
        <f>IF(AND(Z305&gt;0,Tableau13[[#This Row],[CDS]]=""),"Oui","Non")</f>
        <v>Non</v>
      </c>
      <c r="AB305" s="75"/>
      <c r="AC305" s="75"/>
      <c r="AD305" s="75"/>
      <c r="AE305" s="75"/>
      <c r="AF305" s="75"/>
      <c r="AG305" s="75"/>
      <c r="AH305" s="75"/>
      <c r="AI305" s="75"/>
      <c r="AJ305" s="81"/>
      <c r="AK305" s="75"/>
      <c r="AL305" s="75"/>
    </row>
    <row r="306" spans="1:38" ht="15.75" hidden="1" thickBot="1" x14ac:dyDescent="0.3">
      <c r="A306" s="75"/>
      <c r="B306" s="75"/>
      <c r="C306" s="35">
        <f>INDEX(Données!$F$2:$L$54,MATCH(F306,Données!$F$2:$F$54,0),2)</f>
        <v>44172</v>
      </c>
      <c r="D306" s="29" t="str">
        <f t="shared" si="8"/>
        <v>#1</v>
      </c>
      <c r="E306" s="7">
        <f>Données!K51</f>
        <v>44176</v>
      </c>
      <c r="F306" s="6" t="str">
        <f>INDEX(Données!$F$2:$L$54,MATCH('#1'!E306,Données!$G$2:$G$54,1),1)</f>
        <v>50</v>
      </c>
      <c r="G306" s="18" t="str">
        <f t="shared" si="9"/>
        <v>PS-1</v>
      </c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1"/>
      <c r="W306" s="75"/>
      <c r="X306" s="75"/>
      <c r="Y306" s="75"/>
      <c r="Z306" s="96">
        <f>SUM(Tableau13[[#This Row],[A-1]:[G-5]])</f>
        <v>0</v>
      </c>
      <c r="AA306" s="96" t="str">
        <f>IF(AND(Z306&gt;0,Tableau13[[#This Row],[CDS]]=""),"Oui","Non")</f>
        <v>Non</v>
      </c>
      <c r="AB306" s="75"/>
      <c r="AC306" s="75"/>
      <c r="AD306" s="75"/>
      <c r="AE306" s="75"/>
      <c r="AF306" s="75"/>
      <c r="AG306" s="75"/>
      <c r="AH306" s="75"/>
      <c r="AI306" s="75"/>
      <c r="AJ306" s="81"/>
      <c r="AK306" s="75"/>
      <c r="AL306" s="75"/>
    </row>
    <row r="307" spans="1:38" ht="15.75" hidden="1" thickBot="1" x14ac:dyDescent="0.3">
      <c r="A307" s="75"/>
      <c r="B307" s="75"/>
      <c r="C307" s="35">
        <f>INDEX(Données!$F$2:$L$54,MATCH(F307,Données!$F$2:$F$54,0),2)</f>
        <v>44172</v>
      </c>
      <c r="D307" s="29" t="str">
        <f t="shared" si="8"/>
        <v>#1</v>
      </c>
      <c r="E307" s="7">
        <f>Données!L51</f>
        <v>44177</v>
      </c>
      <c r="F307" s="6" t="str">
        <f>INDEX(Données!$F$2:$L$54,MATCH('#1'!E307,Données!$G$2:$G$54,1),1)</f>
        <v>50</v>
      </c>
      <c r="G307" s="18" t="str">
        <f t="shared" si="9"/>
        <v>PS-1</v>
      </c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1"/>
      <c r="W307" s="75"/>
      <c r="X307" s="75"/>
      <c r="Y307" s="75"/>
      <c r="Z307" s="96">
        <f>SUM(Tableau13[[#This Row],[A-1]:[G-5]])</f>
        <v>0</v>
      </c>
      <c r="AA307" s="96" t="str">
        <f>IF(AND(Z307&gt;0,Tableau13[[#This Row],[CDS]]=""),"Oui","Non")</f>
        <v>Non</v>
      </c>
      <c r="AB307" s="75"/>
      <c r="AC307" s="75"/>
      <c r="AD307" s="75"/>
      <c r="AE307" s="75"/>
      <c r="AF307" s="75"/>
      <c r="AG307" s="75"/>
      <c r="AH307" s="75"/>
      <c r="AI307" s="75"/>
      <c r="AJ307" s="81"/>
      <c r="AK307" s="75"/>
      <c r="AL307" s="75"/>
    </row>
    <row r="308" spans="1:38" ht="15.75" hidden="1" thickBot="1" x14ac:dyDescent="0.3">
      <c r="A308" s="75"/>
      <c r="B308" s="75"/>
      <c r="C308" s="35">
        <f>INDEX(Données!$F$2:$L$54,MATCH(F308,Données!$F$2:$F$54,0),2)</f>
        <v>44179</v>
      </c>
      <c r="D308" s="29" t="str">
        <f t="shared" si="8"/>
        <v>#1</v>
      </c>
      <c r="E308" s="7">
        <f>Données!G52</f>
        <v>44179</v>
      </c>
      <c r="F308" s="6" t="str">
        <f>INDEX(Données!$F$2:$L$54,MATCH('#1'!E308,Données!$G$2:$G$54,1),1)</f>
        <v>51</v>
      </c>
      <c r="G308" s="18" t="str">
        <f t="shared" si="9"/>
        <v>PS-1</v>
      </c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1"/>
      <c r="W308" s="75"/>
      <c r="X308" s="75"/>
      <c r="Y308" s="75"/>
      <c r="Z308" s="96">
        <f>SUM(Tableau13[[#This Row],[A-1]:[G-5]])</f>
        <v>0</v>
      </c>
      <c r="AA308" s="96" t="str">
        <f>IF(AND(Z308&gt;0,Tableau13[[#This Row],[CDS]]=""),"Oui","Non")</f>
        <v>Non</v>
      </c>
      <c r="AB308" s="75"/>
      <c r="AC308" s="75"/>
      <c r="AD308" s="75"/>
      <c r="AE308" s="75"/>
      <c r="AF308" s="75"/>
      <c r="AG308" s="75"/>
      <c r="AH308" s="75"/>
      <c r="AI308" s="75"/>
      <c r="AJ308" s="81"/>
      <c r="AK308" s="75"/>
      <c r="AL308" s="75"/>
    </row>
    <row r="309" spans="1:38" ht="15.75" hidden="1" thickBot="1" x14ac:dyDescent="0.3">
      <c r="A309" s="75"/>
      <c r="B309" s="75"/>
      <c r="C309" s="35">
        <f>INDEX(Données!$F$2:$L$54,MATCH(F309,Données!$F$2:$F$54,0),2)</f>
        <v>44179</v>
      </c>
      <c r="D309" s="29" t="str">
        <f t="shared" si="8"/>
        <v>#1</v>
      </c>
      <c r="E309" s="7">
        <f>Données!H52</f>
        <v>44180</v>
      </c>
      <c r="F309" s="6" t="str">
        <f>INDEX(Données!$F$2:$L$54,MATCH('#1'!E309,Données!$G$2:$G$54,1),1)</f>
        <v>51</v>
      </c>
      <c r="G309" s="18" t="str">
        <f t="shared" si="9"/>
        <v>PS-1</v>
      </c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1"/>
      <c r="W309" s="75"/>
      <c r="X309" s="75"/>
      <c r="Y309" s="75"/>
      <c r="Z309" s="96">
        <f>SUM(Tableau13[[#This Row],[A-1]:[G-5]])</f>
        <v>0</v>
      </c>
      <c r="AA309" s="96" t="str">
        <f>IF(AND(Z309&gt;0,Tableau13[[#This Row],[CDS]]=""),"Oui","Non")</f>
        <v>Non</v>
      </c>
      <c r="AB309" s="75"/>
      <c r="AC309" s="75"/>
      <c r="AD309" s="75"/>
      <c r="AE309" s="75"/>
      <c r="AF309" s="75"/>
      <c r="AG309" s="75"/>
      <c r="AH309" s="75"/>
      <c r="AI309" s="75"/>
      <c r="AJ309" s="81"/>
      <c r="AK309" s="75"/>
      <c r="AL309" s="75"/>
    </row>
    <row r="310" spans="1:38" ht="15.75" hidden="1" thickBot="1" x14ac:dyDescent="0.3">
      <c r="A310" s="75"/>
      <c r="B310" s="75"/>
      <c r="C310" s="35">
        <f>INDEX(Données!$F$2:$L$54,MATCH(F310,Données!$F$2:$F$54,0),2)</f>
        <v>44179</v>
      </c>
      <c r="D310" s="29" t="str">
        <f t="shared" si="8"/>
        <v>#1</v>
      </c>
      <c r="E310" s="7">
        <f>Données!I52</f>
        <v>44181</v>
      </c>
      <c r="F310" s="6" t="str">
        <f>INDEX(Données!$F$2:$L$54,MATCH('#1'!E310,Données!$G$2:$G$54,1),1)</f>
        <v>51</v>
      </c>
      <c r="G310" s="18" t="str">
        <f t="shared" si="9"/>
        <v>PS-1</v>
      </c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1"/>
      <c r="W310" s="75"/>
      <c r="X310" s="75"/>
      <c r="Y310" s="75"/>
      <c r="Z310" s="96">
        <f>SUM(Tableau13[[#This Row],[A-1]:[G-5]])</f>
        <v>0</v>
      </c>
      <c r="AA310" s="96" t="str">
        <f>IF(AND(Z310&gt;0,Tableau13[[#This Row],[CDS]]=""),"Oui","Non")</f>
        <v>Non</v>
      </c>
      <c r="AB310" s="75"/>
      <c r="AC310" s="75"/>
      <c r="AD310" s="75"/>
      <c r="AE310" s="75"/>
      <c r="AF310" s="75"/>
      <c r="AG310" s="75"/>
      <c r="AH310" s="75"/>
      <c r="AI310" s="75"/>
      <c r="AJ310" s="81"/>
      <c r="AK310" s="75"/>
      <c r="AL310" s="75"/>
    </row>
    <row r="311" spans="1:38" ht="15.75" hidden="1" thickBot="1" x14ac:dyDescent="0.3">
      <c r="A311" s="75"/>
      <c r="B311" s="75"/>
      <c r="C311" s="35">
        <f>INDEX(Données!$F$2:$L$54,MATCH(F311,Données!$F$2:$F$54,0),2)</f>
        <v>44179</v>
      </c>
      <c r="D311" s="29" t="str">
        <f t="shared" si="8"/>
        <v>#1</v>
      </c>
      <c r="E311" s="7">
        <f>Données!J52</f>
        <v>44182</v>
      </c>
      <c r="F311" s="6" t="str">
        <f>INDEX(Données!$F$2:$L$54,MATCH('#1'!E311,Données!$G$2:$G$54,1),1)</f>
        <v>51</v>
      </c>
      <c r="G311" s="18" t="str">
        <f t="shared" si="9"/>
        <v>PS-1</v>
      </c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1"/>
      <c r="W311" s="75"/>
      <c r="X311" s="75"/>
      <c r="Y311" s="75"/>
      <c r="Z311" s="96">
        <f>SUM(Tableau13[[#This Row],[A-1]:[G-5]])</f>
        <v>0</v>
      </c>
      <c r="AA311" s="96" t="str">
        <f>IF(AND(Z311&gt;0,Tableau13[[#This Row],[CDS]]=""),"Oui","Non")</f>
        <v>Non</v>
      </c>
      <c r="AB311" s="75"/>
      <c r="AC311" s="75"/>
      <c r="AD311" s="75"/>
      <c r="AE311" s="75"/>
      <c r="AF311" s="75"/>
      <c r="AG311" s="75"/>
      <c r="AH311" s="75"/>
      <c r="AI311" s="75"/>
      <c r="AJ311" s="81"/>
      <c r="AK311" s="75"/>
      <c r="AL311" s="75"/>
    </row>
    <row r="312" spans="1:38" ht="15.75" hidden="1" thickBot="1" x14ac:dyDescent="0.3">
      <c r="A312" s="75"/>
      <c r="B312" s="75"/>
      <c r="C312" s="35">
        <f>INDEX(Données!$F$2:$L$54,MATCH(F312,Données!$F$2:$F$54,0),2)</f>
        <v>44179</v>
      </c>
      <c r="D312" s="29" t="str">
        <f t="shared" si="8"/>
        <v>#1</v>
      </c>
      <c r="E312" s="7">
        <f>Données!K52</f>
        <v>44183</v>
      </c>
      <c r="F312" s="6" t="str">
        <f>INDEX(Données!$F$2:$L$54,MATCH('#1'!E312,Données!$G$2:$G$54,1),1)</f>
        <v>51</v>
      </c>
      <c r="G312" s="18" t="str">
        <f t="shared" si="9"/>
        <v>PS-1</v>
      </c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1"/>
      <c r="W312" s="75"/>
      <c r="X312" s="75"/>
      <c r="Y312" s="75"/>
      <c r="Z312" s="96">
        <f>SUM(Tableau13[[#This Row],[A-1]:[G-5]])</f>
        <v>0</v>
      </c>
      <c r="AA312" s="96" t="str">
        <f>IF(AND(Z312&gt;0,Tableau13[[#This Row],[CDS]]=""),"Oui","Non")</f>
        <v>Non</v>
      </c>
      <c r="AB312" s="75"/>
      <c r="AC312" s="75"/>
      <c r="AD312" s="75"/>
      <c r="AE312" s="75"/>
      <c r="AF312" s="75"/>
      <c r="AG312" s="75"/>
      <c r="AH312" s="75"/>
      <c r="AI312" s="75"/>
      <c r="AJ312" s="81"/>
      <c r="AK312" s="75"/>
      <c r="AL312" s="75"/>
    </row>
    <row r="313" spans="1:38" ht="15.75" hidden="1" thickBot="1" x14ac:dyDescent="0.3">
      <c r="A313" s="75"/>
      <c r="B313" s="75"/>
      <c r="C313" s="35">
        <f>INDEX(Données!$F$2:$L$54,MATCH(F313,Données!$F$2:$F$54,0),2)</f>
        <v>44179</v>
      </c>
      <c r="D313" s="29" t="str">
        <f t="shared" si="8"/>
        <v>#1</v>
      </c>
      <c r="E313" s="7">
        <f>Données!L52</f>
        <v>44184</v>
      </c>
      <c r="F313" s="6" t="str">
        <f>INDEX(Données!$F$2:$L$54,MATCH('#1'!E313,Données!$G$2:$G$54,1),1)</f>
        <v>51</v>
      </c>
      <c r="G313" s="18" t="str">
        <f>IF(AND($V$5=1),"PS-1",IF(AND($V$5=2),"PS-2",IF(AND($V$5=4),"PS-4",IF(AND($V$5=6),"S.O.",IF(AND($V$5=5),"")))))</f>
        <v>PS-1</v>
      </c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1"/>
      <c r="W313" s="75"/>
      <c r="X313" s="75"/>
      <c r="Y313" s="75"/>
      <c r="Z313" s="96">
        <f>SUM(Tableau13[[#This Row],[A-1]:[G-5]])</f>
        <v>0</v>
      </c>
      <c r="AA313" s="96" t="str">
        <f>IF(AND(Z313&gt;0,Tableau13[[#This Row],[CDS]]=""),"Oui","Non")</f>
        <v>Non</v>
      </c>
      <c r="AB313" s="75"/>
      <c r="AC313" s="75"/>
      <c r="AD313" s="75"/>
      <c r="AE313" s="75"/>
      <c r="AF313" s="75"/>
      <c r="AG313" s="75"/>
      <c r="AH313" s="75"/>
      <c r="AI313" s="75"/>
      <c r="AJ313" s="81"/>
      <c r="AK313" s="75"/>
      <c r="AL313" s="75"/>
    </row>
    <row r="314" spans="1:38" ht="15.75" hidden="1" thickBot="1" x14ac:dyDescent="0.3">
      <c r="A314" s="75"/>
      <c r="B314" s="75"/>
      <c r="C314" s="35">
        <f>INDEX(Données!$F$2:$L$54,MATCH(F314,Données!$F$2:$F$54,0),2)</f>
        <v>44186</v>
      </c>
      <c r="D314" s="29" t="str">
        <f t="shared" si="8"/>
        <v>#1</v>
      </c>
      <c r="E314" s="7">
        <f>Données!G53</f>
        <v>44186</v>
      </c>
      <c r="F314" s="6" t="str">
        <f>INDEX(Données!$F$2:$L$54,MATCH('#1'!E314,Données!$G$2:$G$54,1),1)</f>
        <v>52</v>
      </c>
      <c r="G314" s="18" t="str">
        <f t="shared" si="9"/>
        <v>PS-1</v>
      </c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1"/>
      <c r="W314" s="75"/>
      <c r="X314" s="75"/>
      <c r="Y314" s="75"/>
      <c r="Z314" s="96">
        <f>SUM(Tableau13[[#This Row],[A-1]:[G-5]])</f>
        <v>0</v>
      </c>
      <c r="AA314" s="96" t="str">
        <f>IF(AND(Z314&gt;0,Tableau13[[#This Row],[CDS]]=""),"Oui","Non")</f>
        <v>Non</v>
      </c>
      <c r="AB314" s="75"/>
      <c r="AC314" s="75"/>
      <c r="AD314" s="75"/>
      <c r="AE314" s="75"/>
      <c r="AF314" s="75"/>
      <c r="AG314" s="75"/>
      <c r="AH314" s="75"/>
      <c r="AI314" s="75"/>
      <c r="AJ314" s="81"/>
      <c r="AK314" s="75"/>
      <c r="AL314" s="75"/>
    </row>
    <row r="315" spans="1:38" ht="15.75" hidden="1" thickBot="1" x14ac:dyDescent="0.3">
      <c r="A315" s="75"/>
      <c r="B315" s="75"/>
      <c r="C315" s="35">
        <f>INDEX(Données!$F$2:$L$54,MATCH(F315,Données!$F$2:$F$54,0),2)</f>
        <v>44186</v>
      </c>
      <c r="D315" s="29" t="str">
        <f t="shared" si="8"/>
        <v>#1</v>
      </c>
      <c r="E315" s="7">
        <f>Données!H53</f>
        <v>44187</v>
      </c>
      <c r="F315" s="6" t="str">
        <f>INDEX(Données!$F$2:$L$54,MATCH('#1'!E315,Données!$G$2:$G$54,1),1)</f>
        <v>52</v>
      </c>
      <c r="G315" s="18" t="str">
        <f t="shared" si="9"/>
        <v>PS-1</v>
      </c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1"/>
      <c r="W315" s="75"/>
      <c r="X315" s="75"/>
      <c r="Y315" s="75"/>
      <c r="Z315" s="96">
        <f>SUM(Tableau13[[#This Row],[A-1]:[G-5]])</f>
        <v>0</v>
      </c>
      <c r="AA315" s="96" t="str">
        <f>IF(AND(Z315&gt;0,Tableau13[[#This Row],[CDS]]=""),"Oui","Non")</f>
        <v>Non</v>
      </c>
      <c r="AB315" s="75"/>
      <c r="AC315" s="75"/>
      <c r="AD315" s="75"/>
      <c r="AE315" s="75"/>
      <c r="AF315" s="75"/>
      <c r="AG315" s="75"/>
      <c r="AH315" s="75"/>
      <c r="AI315" s="75"/>
      <c r="AJ315" s="81"/>
      <c r="AK315" s="75"/>
      <c r="AL315" s="75"/>
    </row>
    <row r="316" spans="1:38" ht="15.75" hidden="1" thickBot="1" x14ac:dyDescent="0.3">
      <c r="A316" s="75"/>
      <c r="B316" s="75"/>
      <c r="C316" s="35">
        <f>INDEX(Données!$F$2:$L$54,MATCH(F316,Données!$F$2:$F$54,0),2)</f>
        <v>44186</v>
      </c>
      <c r="D316" s="29" t="str">
        <f t="shared" si="8"/>
        <v>#1</v>
      </c>
      <c r="E316" s="7">
        <f>Données!I53</f>
        <v>44188</v>
      </c>
      <c r="F316" s="6" t="str">
        <f>INDEX(Données!$F$2:$L$54,MATCH('#1'!E316,Données!$G$2:$G$54,1),1)</f>
        <v>52</v>
      </c>
      <c r="G316" s="18" t="str">
        <f t="shared" si="9"/>
        <v>PS-1</v>
      </c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1"/>
      <c r="W316" s="75"/>
      <c r="X316" s="75"/>
      <c r="Y316" s="75"/>
      <c r="Z316" s="96">
        <f>SUM(Tableau13[[#This Row],[A-1]:[G-5]])</f>
        <v>0</v>
      </c>
      <c r="AA316" s="96" t="str">
        <f>IF(AND(Z316&gt;0,Tableau13[[#This Row],[CDS]]=""),"Oui","Non")</f>
        <v>Non</v>
      </c>
      <c r="AB316" s="75"/>
      <c r="AC316" s="75"/>
      <c r="AD316" s="75"/>
      <c r="AE316" s="75"/>
      <c r="AF316" s="75"/>
      <c r="AG316" s="75"/>
      <c r="AH316" s="75"/>
      <c r="AI316" s="75"/>
      <c r="AJ316" s="81"/>
      <c r="AK316" s="75"/>
      <c r="AL316" s="75"/>
    </row>
    <row r="317" spans="1:38" ht="15.75" hidden="1" thickBot="1" x14ac:dyDescent="0.3">
      <c r="A317" s="75"/>
      <c r="B317" s="75"/>
      <c r="C317" s="35">
        <f>INDEX(Données!$F$2:$L$54,MATCH(F317,Données!$F$2:$F$54,0),2)</f>
        <v>44186</v>
      </c>
      <c r="D317" s="29" t="str">
        <f t="shared" si="8"/>
        <v>#1</v>
      </c>
      <c r="E317" s="7">
        <f>Données!J53</f>
        <v>44189</v>
      </c>
      <c r="F317" s="6" t="str">
        <f>INDEX(Données!$F$2:$L$54,MATCH('#1'!E317,Données!$G$2:$G$54,1),1)</f>
        <v>52</v>
      </c>
      <c r="G317" s="18" t="str">
        <f t="shared" si="9"/>
        <v>PS-1</v>
      </c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1"/>
      <c r="W317" s="75"/>
      <c r="X317" s="75"/>
      <c r="Y317" s="75"/>
      <c r="Z317" s="96">
        <f>SUM(Tableau13[[#This Row],[A-1]:[G-5]])</f>
        <v>0</v>
      </c>
      <c r="AA317" s="96" t="str">
        <f>IF(AND(Z317&gt;0,Tableau13[[#This Row],[CDS]]=""),"Oui","Non")</f>
        <v>Non</v>
      </c>
      <c r="AB317" s="75"/>
      <c r="AC317" s="75"/>
      <c r="AD317" s="75"/>
      <c r="AE317" s="75"/>
      <c r="AF317" s="75"/>
      <c r="AG317" s="75"/>
      <c r="AH317" s="75"/>
      <c r="AI317" s="75"/>
      <c r="AJ317" s="81"/>
      <c r="AK317" s="75"/>
      <c r="AL317" s="75"/>
    </row>
    <row r="318" spans="1:38" ht="15.75" hidden="1" thickBot="1" x14ac:dyDescent="0.3">
      <c r="A318" s="75"/>
      <c r="B318" s="75"/>
      <c r="C318" s="35">
        <f>INDEX(Données!$F$2:$L$54,MATCH(F318,Données!$F$2:$F$54,0),2)</f>
        <v>44186</v>
      </c>
      <c r="D318" s="29" t="str">
        <f t="shared" si="8"/>
        <v>#1</v>
      </c>
      <c r="E318" s="7">
        <f>Données!K53</f>
        <v>44190</v>
      </c>
      <c r="F318" s="6" t="str">
        <f>INDEX(Données!$F$2:$L$54,MATCH('#1'!E318,Données!$G$2:$G$54,1),1)</f>
        <v>52</v>
      </c>
      <c r="G318" s="18" t="str">
        <f t="shared" si="9"/>
        <v>PS-1</v>
      </c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1"/>
      <c r="W318" s="75"/>
      <c r="X318" s="75"/>
      <c r="Y318" s="75"/>
      <c r="Z318" s="96">
        <f>SUM(Tableau13[[#This Row],[A-1]:[G-5]])</f>
        <v>0</v>
      </c>
      <c r="AA318" s="96" t="str">
        <f>IF(AND(Z318&gt;0,Tableau13[[#This Row],[CDS]]=""),"Oui","Non")</f>
        <v>Non</v>
      </c>
      <c r="AB318" s="75"/>
      <c r="AC318" s="75"/>
      <c r="AD318" s="75"/>
      <c r="AE318" s="75"/>
      <c r="AF318" s="75"/>
      <c r="AG318" s="75"/>
      <c r="AH318" s="75"/>
      <c r="AI318" s="75"/>
      <c r="AJ318" s="81"/>
      <c r="AK318" s="75"/>
      <c r="AL318" s="75"/>
    </row>
    <row r="319" spans="1:38" ht="15.75" hidden="1" thickBot="1" x14ac:dyDescent="0.3">
      <c r="A319" s="75"/>
      <c r="B319" s="75"/>
      <c r="C319" s="35">
        <f>INDEX(Données!$F$2:$L$54,MATCH(F319,Données!$F$2:$F$54,0),2)</f>
        <v>44186</v>
      </c>
      <c r="D319" s="29" t="str">
        <f t="shared" si="8"/>
        <v>#1</v>
      </c>
      <c r="E319" s="7">
        <f>Données!L53</f>
        <v>44191</v>
      </c>
      <c r="F319" s="6" t="str">
        <f>INDEX(Données!$F$2:$L$54,MATCH('#1'!E319,Données!$G$2:$G$54,1),1)</f>
        <v>52</v>
      </c>
      <c r="G319" s="18" t="str">
        <f t="shared" si="9"/>
        <v>PS-1</v>
      </c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1"/>
      <c r="W319" s="75"/>
      <c r="X319" s="75"/>
      <c r="Y319" s="75"/>
      <c r="Z319" s="96">
        <f>SUM(Tableau13[[#This Row],[A-1]:[G-5]])</f>
        <v>0</v>
      </c>
      <c r="AA319" s="96" t="str">
        <f>IF(AND(Z319&gt;0,Tableau13[[#This Row],[CDS]]=""),"Oui","Non")</f>
        <v>Non</v>
      </c>
      <c r="AB319" s="75"/>
      <c r="AC319" s="75"/>
      <c r="AD319" s="75"/>
      <c r="AE319" s="75"/>
      <c r="AF319" s="75"/>
      <c r="AG319" s="75"/>
      <c r="AH319" s="75"/>
      <c r="AI319" s="75"/>
      <c r="AJ319" s="81"/>
      <c r="AK319" s="75"/>
      <c r="AL319" s="75"/>
    </row>
    <row r="320" spans="1:38" ht="15.75" hidden="1" thickBot="1" x14ac:dyDescent="0.3">
      <c r="A320" s="75"/>
      <c r="B320" s="75"/>
      <c r="C320" s="35">
        <f>INDEX(Données!$F$2:$L$54,MATCH(F320,Données!$F$2:$F$54,0),2)</f>
        <v>44193</v>
      </c>
      <c r="D320" s="29" t="str">
        <f t="shared" si="8"/>
        <v>#1</v>
      </c>
      <c r="E320" s="7">
        <f>Données!G54</f>
        <v>44193</v>
      </c>
      <c r="F320" s="6" t="str">
        <f>INDEX(Données!$F$2:$L$54,MATCH('#1'!E320,Données!$G$2:$G$54,1),1)</f>
        <v>53</v>
      </c>
      <c r="G320" s="18" t="str">
        <f t="shared" si="9"/>
        <v>PS-1</v>
      </c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1"/>
      <c r="W320" s="75"/>
      <c r="X320" s="75"/>
      <c r="Y320" s="75"/>
      <c r="Z320" s="96">
        <f>SUM(Tableau13[[#This Row],[A-1]:[G-5]])</f>
        <v>0</v>
      </c>
      <c r="AA320" s="96" t="str">
        <f>IF(AND(Z320&gt;0,Tableau13[[#This Row],[CDS]]=""),"Oui","Non")</f>
        <v>Non</v>
      </c>
      <c r="AB320" s="75"/>
      <c r="AC320" s="75"/>
      <c r="AD320" s="75"/>
      <c r="AE320" s="75"/>
      <c r="AF320" s="75"/>
      <c r="AG320" s="75"/>
      <c r="AH320" s="75"/>
      <c r="AI320" s="75"/>
      <c r="AJ320" s="81"/>
      <c r="AK320" s="75"/>
      <c r="AL320" s="75"/>
    </row>
    <row r="321" spans="1:38" ht="15.75" hidden="1" thickBot="1" x14ac:dyDescent="0.3">
      <c r="A321" s="75"/>
      <c r="B321" s="75"/>
      <c r="C321" s="35">
        <f>INDEX(Données!$F$2:$L$54,MATCH(F321,Données!$F$2:$F$54,0),2)</f>
        <v>44193</v>
      </c>
      <c r="D321" s="29" t="str">
        <f t="shared" si="8"/>
        <v>#1</v>
      </c>
      <c r="E321" s="7">
        <f>Données!H54</f>
        <v>44194</v>
      </c>
      <c r="F321" s="6" t="str">
        <f>INDEX(Données!$F$2:$L$54,MATCH('#1'!E321,Données!$G$2:$G$54,1),1)</f>
        <v>53</v>
      </c>
      <c r="G321" s="18" t="str">
        <f>IF(AND($V$5=1),"PS-1",IF(AND($V$5=2),"PS-2",IF(AND($V$5=4),"PS-4",IF(AND($V$5=6),"S.O.",IF(AND($V$5=5),"")))))</f>
        <v>PS-1</v>
      </c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1"/>
      <c r="W321" s="75"/>
      <c r="X321" s="75"/>
      <c r="Y321" s="75"/>
      <c r="Z321" s="96">
        <f>SUM(Tableau13[[#This Row],[A-1]:[G-5]])</f>
        <v>0</v>
      </c>
      <c r="AA321" s="96" t="str">
        <f>IF(AND(Z321&gt;0,Tableau13[[#This Row],[CDS]]=""),"Oui","Non")</f>
        <v>Non</v>
      </c>
      <c r="AB321" s="75"/>
      <c r="AC321" s="75"/>
      <c r="AD321" s="75"/>
      <c r="AE321" s="75"/>
      <c r="AF321" s="75"/>
      <c r="AG321" s="75"/>
      <c r="AH321" s="75"/>
      <c r="AI321" s="75"/>
      <c r="AJ321" s="81"/>
      <c r="AK321" s="75"/>
      <c r="AL321" s="75"/>
    </row>
    <row r="322" spans="1:38" ht="15.75" hidden="1" thickBot="1" x14ac:dyDescent="0.3">
      <c r="A322" s="75"/>
      <c r="B322" s="75"/>
      <c r="C322" s="35">
        <f>INDEX(Données!$F$2:$L$54,MATCH(F322,Données!$F$2:$F$54,0),2)</f>
        <v>44193</v>
      </c>
      <c r="D322" s="29" t="str">
        <f t="shared" si="8"/>
        <v>#1</v>
      </c>
      <c r="E322" s="7">
        <f>Données!I54</f>
        <v>44195</v>
      </c>
      <c r="F322" s="6" t="str">
        <f>INDEX(Données!$F$2:$L$54,MATCH('#1'!E322,Données!$G$2:$G$54,1),1)</f>
        <v>53</v>
      </c>
      <c r="G322" s="18" t="str">
        <f t="shared" si="9"/>
        <v>PS-1</v>
      </c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1"/>
      <c r="W322" s="75"/>
      <c r="X322" s="75"/>
      <c r="Y322" s="75"/>
      <c r="Z322" s="96">
        <f>SUM(Tableau13[[#This Row],[A-1]:[G-5]])</f>
        <v>0</v>
      </c>
      <c r="AA322" s="96" t="str">
        <f>IF(AND(Z322&gt;0,Tableau13[[#This Row],[CDS]]=""),"Oui","Non")</f>
        <v>Non</v>
      </c>
      <c r="AB322" s="75"/>
      <c r="AC322" s="75"/>
      <c r="AD322" s="75"/>
      <c r="AE322" s="75"/>
      <c r="AF322" s="75"/>
      <c r="AG322" s="75"/>
      <c r="AH322" s="75"/>
      <c r="AI322" s="75"/>
      <c r="AJ322" s="81"/>
      <c r="AK322" s="75"/>
      <c r="AL322" s="75"/>
    </row>
    <row r="323" spans="1:38" ht="15.75" hidden="1" thickBot="1" x14ac:dyDescent="0.3">
      <c r="A323" s="75"/>
      <c r="B323" s="75"/>
      <c r="C323" s="35">
        <f>INDEX(Données!$F$2:$L$54,MATCH(F323,Données!$F$2:$F$54,0),2)</f>
        <v>44193</v>
      </c>
      <c r="D323" s="29" t="str">
        <f t="shared" si="8"/>
        <v>#1</v>
      </c>
      <c r="E323" s="7">
        <f>Données!J54</f>
        <v>44196</v>
      </c>
      <c r="F323" s="6" t="str">
        <f>INDEX(Données!$F$2:$L$54,MATCH('#1'!E323,Données!$G$2:$G$54,1),1)</f>
        <v>53</v>
      </c>
      <c r="G323" s="18" t="str">
        <f t="shared" si="9"/>
        <v>PS-1</v>
      </c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1"/>
      <c r="W323" s="75"/>
      <c r="X323" s="75"/>
      <c r="Y323" s="75"/>
      <c r="Z323" s="96">
        <f>SUM(Tableau13[[#This Row],[A-1]:[G-5]])</f>
        <v>0</v>
      </c>
      <c r="AA323" s="96" t="str">
        <f>IF(AND(Z323&gt;0,Tableau13[[#This Row],[CDS]]=""),"Oui","Non")</f>
        <v>Non</v>
      </c>
      <c r="AB323" s="75"/>
      <c r="AC323" s="75"/>
      <c r="AD323" s="75"/>
      <c r="AE323" s="75"/>
      <c r="AF323" s="75"/>
      <c r="AG323" s="75"/>
      <c r="AH323" s="75"/>
      <c r="AI323" s="75"/>
      <c r="AJ323" s="81"/>
      <c r="AK323" s="75"/>
      <c r="AL323" s="75"/>
    </row>
    <row r="324" spans="1:38" ht="15.75" hidden="1" thickBot="1" x14ac:dyDescent="0.3">
      <c r="A324" s="75"/>
      <c r="B324" s="75"/>
      <c r="C324" s="35">
        <f>INDEX(Données!$F$2:$L$54,MATCH(F324,Données!$F$2:$F$54,0),2)</f>
        <v>44193</v>
      </c>
      <c r="D324" s="29" t="str">
        <f t="shared" si="8"/>
        <v>#1</v>
      </c>
      <c r="E324" s="7">
        <f>Données!K54</f>
        <v>44197</v>
      </c>
      <c r="F324" s="6" t="str">
        <f>INDEX(Données!$F$2:$L$54,MATCH('#1'!E324,Données!$G$2:$G$54,1),1)</f>
        <v>53</v>
      </c>
      <c r="G324" s="18" t="str">
        <f t="shared" si="9"/>
        <v>PS-1</v>
      </c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1"/>
      <c r="W324" s="75"/>
      <c r="X324" s="75"/>
      <c r="Y324" s="75"/>
      <c r="Z324" s="96">
        <f>SUM(Tableau13[[#This Row],[A-1]:[G-5]])</f>
        <v>0</v>
      </c>
      <c r="AA324" s="96" t="str">
        <f>IF(AND(Z324&gt;0,Tableau13[[#This Row],[CDS]]=""),"Oui","Non")</f>
        <v>Non</v>
      </c>
      <c r="AB324" s="75"/>
      <c r="AC324" s="75"/>
      <c r="AD324" s="75"/>
      <c r="AE324" s="75"/>
      <c r="AF324" s="75"/>
      <c r="AG324" s="75"/>
      <c r="AH324" s="75"/>
      <c r="AI324" s="75"/>
      <c r="AJ324" s="81"/>
      <c r="AK324" s="75"/>
      <c r="AL324" s="75"/>
    </row>
    <row r="325" spans="1:38" ht="15.75" hidden="1" thickBot="1" x14ac:dyDescent="0.3">
      <c r="A325" s="75"/>
      <c r="B325" s="75"/>
      <c r="C325" s="35">
        <f>INDEX(Données!$F$2:$L$54,MATCH(F325,Données!$F$2:$F$54,0),2)</f>
        <v>44193</v>
      </c>
      <c r="D325" s="29" t="str">
        <f t="shared" si="8"/>
        <v>#1</v>
      </c>
      <c r="E325" s="8">
        <f>Données!L54</f>
        <v>44198</v>
      </c>
      <c r="F325" s="9" t="str">
        <f>INDEX(Données!$F$2:$L$54,MATCH('#1'!E325,Données!$G$2:$G$54,1),1)</f>
        <v>53</v>
      </c>
      <c r="G325" s="18" t="str">
        <f t="shared" si="9"/>
        <v>PS-1</v>
      </c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3"/>
      <c r="W325" s="75"/>
      <c r="X325" s="75"/>
      <c r="Y325" s="75"/>
      <c r="Z325" s="96">
        <f>SUM(Tableau13[[#This Row],[A-1]:[G-5]])</f>
        <v>0</v>
      </c>
      <c r="AA325" s="96" t="str">
        <f>IF(AND(Z325&gt;0,Tableau13[[#This Row],[CDS]]=""),"Oui","Non")</f>
        <v>Non</v>
      </c>
      <c r="AB325" s="75"/>
      <c r="AC325" s="75"/>
      <c r="AD325" s="75"/>
      <c r="AE325" s="75"/>
      <c r="AF325" s="75"/>
      <c r="AG325" s="75"/>
      <c r="AH325" s="75"/>
      <c r="AI325" s="75"/>
      <c r="AJ325" s="81"/>
      <c r="AK325" s="75"/>
      <c r="AL325" s="75"/>
    </row>
    <row r="326" spans="1:38" x14ac:dyDescent="0.25">
      <c r="A326" s="75"/>
      <c r="B326" s="75"/>
      <c r="C326" s="51"/>
      <c r="D326" s="31"/>
      <c r="E326" s="157" t="s">
        <v>84</v>
      </c>
      <c r="F326" s="158"/>
      <c r="G326" s="159"/>
      <c r="H326" s="11">
        <f>SUMIF(Tableau13[CDS],"S.O.",Tableau13[A-1])</f>
        <v>0</v>
      </c>
      <c r="I326" s="11">
        <f>SUMIF(Tableau13[CDS],"S.O.",Tableau13[B-1])</f>
        <v>0</v>
      </c>
      <c r="J326" s="11">
        <f>SUMIF(Tableau13[CDS],"S.O.",Tableau13[B-2])</f>
        <v>0</v>
      </c>
      <c r="K326" s="11">
        <f>SUMIF(Tableau13[CDS],"S.O.",Tableau13[C-1])</f>
        <v>0</v>
      </c>
      <c r="L326" s="11">
        <f>SUMIF(Tableau13[CDS],"S.O.",Tableau13[C-2])</f>
        <v>0</v>
      </c>
      <c r="M326" s="11">
        <f>SUMIF(Tableau13[CDS],"S.O.",Tableau13[D-1])</f>
        <v>0</v>
      </c>
      <c r="N326" s="11">
        <f>SUMIF(Tableau13[CDS],"S.O.",Tableau13[D-2])</f>
        <v>0</v>
      </c>
      <c r="O326" s="11">
        <f>SUMIF(Tableau13[CDS],"S.O.",Tableau13[E-1])</f>
        <v>0</v>
      </c>
      <c r="P326" s="11">
        <f>SUMIF(Tableau13[CDS],"S.O.",Tableau13[E2])</f>
        <v>0</v>
      </c>
      <c r="Q326" s="11">
        <f>SUMIF(Tableau13[CDS],"S.O.",Tableau13[G-1])</f>
        <v>0</v>
      </c>
      <c r="R326" s="11">
        <f>SUMIF(Tableau13[CDS],"S.O.",Tableau13[G-2])</f>
        <v>0</v>
      </c>
      <c r="S326" s="11">
        <f>SUMIF(Tableau13[CDS],"S.O.",Tableau13[G-3])</f>
        <v>0</v>
      </c>
      <c r="T326" s="11">
        <f>SUMIF(Tableau13[CDS],"S.O.",Tableau13[G-4])</f>
        <v>0</v>
      </c>
      <c r="U326" s="11">
        <f>SUMIF(Tableau13[CDS],"S.O.",Tableau13[G-5])</f>
        <v>0</v>
      </c>
      <c r="V326" s="52"/>
      <c r="W326" s="75"/>
      <c r="X326" s="75"/>
      <c r="Y326" s="75"/>
      <c r="Z326" s="96"/>
      <c r="AA326" s="96"/>
      <c r="AB326" s="75"/>
      <c r="AC326" s="75"/>
      <c r="AD326" s="75"/>
      <c r="AE326" s="75"/>
      <c r="AF326" s="75"/>
      <c r="AG326" s="75"/>
      <c r="AH326" s="75"/>
      <c r="AI326" s="75"/>
      <c r="AJ326" s="81"/>
      <c r="AK326" s="75"/>
      <c r="AL326" s="75"/>
    </row>
    <row r="327" spans="1:38" x14ac:dyDescent="0.25">
      <c r="A327" s="75"/>
      <c r="B327" s="75"/>
      <c r="C327" s="8"/>
      <c r="D327" s="30"/>
      <c r="E327" s="57" t="s">
        <v>121</v>
      </c>
      <c r="F327" s="53"/>
      <c r="G327" s="87"/>
      <c r="H327" s="148">
        <f>SUMIF(Tableau13[CDS],"PS-1",Tableau13[A-1])</f>
        <v>0</v>
      </c>
      <c r="I327" s="148">
        <f>SUMIF(Tableau13[CDS],"PS-1",Tableau13[B-1])</f>
        <v>0</v>
      </c>
      <c r="J327" s="148">
        <f>SUMIF(Tableau13[CDS],"PS-1",Tableau13[B-2])</f>
        <v>0</v>
      </c>
      <c r="K327" s="148">
        <f>SUMIF(Tableau13[CDS],"PS-1",Tableau13[C-1])</f>
        <v>0</v>
      </c>
      <c r="L327" s="148">
        <f>SUMIF(Tableau13[CDS],"PS-1",Tableau13[C-2])</f>
        <v>0</v>
      </c>
      <c r="M327" s="148">
        <f>SUMIF(Tableau13[CDS],"PS-1",Tableau13[D-1])</f>
        <v>0</v>
      </c>
      <c r="N327" s="148">
        <f>SUMIF(Tableau13[CDS],"PS-1",Tableau13[D-2])</f>
        <v>0</v>
      </c>
      <c r="O327" s="148">
        <f>SUMIF(Tableau13[CDS],"PS-1",Tableau13[E-1])</f>
        <v>0</v>
      </c>
      <c r="P327" s="148">
        <f>SUMIF(Tableau13[CDS],"PS-1",Tableau13[E2])</f>
        <v>0</v>
      </c>
      <c r="Q327" s="148">
        <f>SUMIF(Tableau13[CDS],"PS-1",Tableau13[G-1])</f>
        <v>0</v>
      </c>
      <c r="R327" s="148">
        <f>SUMIF(Tableau13[CDS],"PS-1",Tableau13[G-2])</f>
        <v>0</v>
      </c>
      <c r="S327" s="148">
        <f>SUMIF(Tableau13[CDS],"PS-1",Tableau13[G-3])</f>
        <v>0</v>
      </c>
      <c r="T327" s="148">
        <f>SUMIF(Tableau13[CDS],"PS-1",Tableau13[G-4])</f>
        <v>0</v>
      </c>
      <c r="U327" s="148">
        <f>SUMIF(Tableau13[CDS],"PS-1",Tableau13[G-5])</f>
        <v>0</v>
      </c>
      <c r="V327" s="90"/>
      <c r="W327" s="75"/>
      <c r="X327" s="75"/>
      <c r="Y327" s="75"/>
      <c r="Z327" s="96" t="e">
        <f>SUM(Tableau13[[#This Row],[A-1]:[G-5]])</f>
        <v>#VALUE!</v>
      </c>
      <c r="AA327" s="96" t="e">
        <f>IF(AND(Z327&lt;0,Tableau13[[#This Row],[CDS]]=""),"Oui","Non")</f>
        <v>#VALUE!</v>
      </c>
      <c r="AB327" s="75"/>
      <c r="AC327" s="75"/>
      <c r="AD327" s="75"/>
      <c r="AE327" s="75"/>
      <c r="AF327" s="75"/>
      <c r="AG327" s="75"/>
      <c r="AH327" s="75"/>
      <c r="AI327" s="75"/>
      <c r="AJ327" s="81"/>
      <c r="AK327" s="75"/>
      <c r="AL327" s="75"/>
    </row>
    <row r="328" spans="1:38" x14ac:dyDescent="0.25">
      <c r="A328" s="75"/>
      <c r="B328" s="75"/>
      <c r="C328" s="8"/>
      <c r="D328" s="30"/>
      <c r="E328" s="57" t="s">
        <v>122</v>
      </c>
      <c r="F328" s="53"/>
      <c r="G328" s="87"/>
      <c r="H328" s="148">
        <f>SUMIF(Tableau13[CDS],"PS-2",Tableau13[A-1])</f>
        <v>0</v>
      </c>
      <c r="I328" s="148">
        <f>SUMIF(Tableau13[CDS],"PS-2",Tableau13[B-1])</f>
        <v>0</v>
      </c>
      <c r="J328" s="148">
        <f>SUMIF(Tableau13[CDS],"PS-2",Tableau13[B-2])</f>
        <v>0</v>
      </c>
      <c r="K328" s="148">
        <f>SUMIF(Tableau13[CDS],"PS-2",Tableau13[C-1])</f>
        <v>0</v>
      </c>
      <c r="L328" s="148">
        <f>SUMIF(Tableau13[CDS],"PS-2",Tableau13[C-2])</f>
        <v>0</v>
      </c>
      <c r="M328" s="148">
        <f>SUMIF(Tableau13[CDS],"PS-2",Tableau13[D-1])</f>
        <v>0</v>
      </c>
      <c r="N328" s="148">
        <f>SUMIF(Tableau13[CDS],"PS-2",Tableau13[D-2])</f>
        <v>0</v>
      </c>
      <c r="O328" s="148">
        <f>SUMIF(Tableau13[CDS],"PS-2",Tableau13[E-1])</f>
        <v>0</v>
      </c>
      <c r="P328" s="148">
        <f>SUMIF(Tableau13[CDS],"PS-2",Tableau13[E2])</f>
        <v>0</v>
      </c>
      <c r="Q328" s="148">
        <f>SUMIF(Tableau13[CDS],"PS-2",Tableau13[G-1])</f>
        <v>0</v>
      </c>
      <c r="R328" s="148">
        <f>SUMIF(Tableau13[CDS],"PS-2",Tableau13[G-2])</f>
        <v>0</v>
      </c>
      <c r="S328" s="148">
        <f>SUMIF(Tableau13[CDS],"PS-2",Tableau13[G-3])</f>
        <v>0</v>
      </c>
      <c r="T328" s="148">
        <f>SUMIF(Tableau13[CDS],"PS-2",Tableau13[G-4])</f>
        <v>0</v>
      </c>
      <c r="U328" s="148">
        <f>SUMIF(Tableau13[CDS],"PS-2",Tableau13[G-5])</f>
        <v>0</v>
      </c>
      <c r="V328" s="90"/>
      <c r="W328" s="75"/>
      <c r="X328" s="75"/>
      <c r="Y328" s="75"/>
      <c r="Z328" s="96" t="e">
        <f>SUM(Tableau13[[#This Row],[A-1]:[G-5]])</f>
        <v>#VALUE!</v>
      </c>
      <c r="AA328" s="96" t="e">
        <f>IF(AND(Z328&lt;0,Tableau13[[#This Row],[CDS]]=""),"Oui","Non")</f>
        <v>#VALUE!</v>
      </c>
      <c r="AB328" s="75"/>
      <c r="AC328" s="75"/>
      <c r="AD328" s="75"/>
      <c r="AE328" s="75"/>
      <c r="AF328" s="75"/>
      <c r="AG328" s="75"/>
      <c r="AH328" s="75"/>
      <c r="AI328" s="75"/>
      <c r="AJ328" s="81"/>
      <c r="AK328" s="75"/>
      <c r="AL328" s="75"/>
    </row>
    <row r="329" spans="1:38" ht="15.75" thickBot="1" x14ac:dyDescent="0.3">
      <c r="A329" s="75"/>
      <c r="B329" s="75"/>
      <c r="C329" s="35"/>
      <c r="D329" s="29"/>
      <c r="E329" s="59" t="s">
        <v>123</v>
      </c>
      <c r="F329" s="60"/>
      <c r="G329" s="88"/>
      <c r="H329" s="149">
        <f>SUMIF(Tableau13[CDS],"PS-4",Tableau13[A-1])</f>
        <v>0</v>
      </c>
      <c r="I329" s="149">
        <f>SUMIF(Tableau13[CDS],"PS-4",Tableau13[B-1])</f>
        <v>0</v>
      </c>
      <c r="J329" s="148">
        <f>SUMIF(Tableau13[CDS],"PS-4",Tableau13[B-2])</f>
        <v>0</v>
      </c>
      <c r="K329" s="149">
        <f>SUMIF(Tableau13[CDS],"PS-4",Tableau13[C-1])</f>
        <v>0</v>
      </c>
      <c r="L329" s="148">
        <f>SUMIF(Tableau13[CDS],"PS-4",Tableau13[C-2])</f>
        <v>0</v>
      </c>
      <c r="M329" s="148">
        <f>SUMIF(Tableau13[CDS],"PS-4",Tableau13[D-1])</f>
        <v>0</v>
      </c>
      <c r="N329" s="148">
        <f>SUMIF(Tableau13[CDS],"PS-4",Tableau13[D-2])</f>
        <v>0</v>
      </c>
      <c r="O329" s="149">
        <f>SUMIF(Tableau13[CDS],"PS-4",Tableau13[E-1])</f>
        <v>0</v>
      </c>
      <c r="P329" s="149">
        <f>SUMIF(Tableau13[CDS],"PS-4",Tableau13[E2])</f>
        <v>0</v>
      </c>
      <c r="Q329" s="148">
        <f>SUMIF(Tableau13[CDS],"PS-4",Tableau13[G-1])</f>
        <v>0</v>
      </c>
      <c r="R329" s="148">
        <f>SUMIF(Tableau13[CDS],"PS-4",Tableau13[G-2])</f>
        <v>0</v>
      </c>
      <c r="S329" s="148">
        <f>SUMIF(Tableau13[CDS],"PS-4",Tableau13[G-3])</f>
        <v>0</v>
      </c>
      <c r="T329" s="148">
        <f>SUMIF(Tableau13[CDS],"PS-4",Tableau13[G-4])</f>
        <v>0</v>
      </c>
      <c r="U329" s="149">
        <f>SUMIF(Tableau13[CDS],"PS-4",Tableau13[G-5])</f>
        <v>0</v>
      </c>
      <c r="V329" s="91"/>
      <c r="W329" s="75"/>
      <c r="X329" s="75"/>
      <c r="Y329" s="75"/>
      <c r="Z329" s="96" t="e">
        <f>SUM(Tableau13[[#This Row],[A-1]:[G-5]])</f>
        <v>#VALUE!</v>
      </c>
      <c r="AA329" s="96" t="e">
        <f>IF(AND(Z329&lt;0,Tableau13[[#This Row],[CDS]]=""),"Oui","Non")</f>
        <v>#VALUE!</v>
      </c>
      <c r="AB329" s="75"/>
      <c r="AC329" s="75"/>
      <c r="AD329" s="75"/>
      <c r="AE329" s="75"/>
      <c r="AF329" s="75"/>
      <c r="AG329" s="75"/>
      <c r="AH329" s="75"/>
      <c r="AI329" s="75"/>
      <c r="AJ329" s="81"/>
      <c r="AK329" s="75"/>
      <c r="AL329" s="75"/>
    </row>
    <row r="330" spans="1:38" x14ac:dyDescent="0.25">
      <c r="A330" s="75"/>
      <c r="B330" s="75"/>
      <c r="C330" s="35"/>
      <c r="D330" s="31"/>
      <c r="E330" s="61" t="s">
        <v>16</v>
      </c>
      <c r="F330" s="62"/>
      <c r="G330" s="89"/>
      <c r="H330" s="63">
        <f t="shared" ref="H330:U330" si="10">SUM(H326:H329)</f>
        <v>0</v>
      </c>
      <c r="I330" s="63">
        <f t="shared" si="10"/>
        <v>0</v>
      </c>
      <c r="J330" s="63">
        <f>SUM(J326:J329)</f>
        <v>0</v>
      </c>
      <c r="K330" s="63">
        <f t="shared" si="10"/>
        <v>0</v>
      </c>
      <c r="L330" s="63">
        <f t="shared" si="10"/>
        <v>0</v>
      </c>
      <c r="M330" s="63">
        <f t="shared" si="10"/>
        <v>0</v>
      </c>
      <c r="N330" s="63">
        <f t="shared" si="10"/>
        <v>0</v>
      </c>
      <c r="O330" s="63">
        <f t="shared" si="10"/>
        <v>0</v>
      </c>
      <c r="P330" s="63">
        <f t="shared" si="10"/>
        <v>0</v>
      </c>
      <c r="Q330" s="63">
        <f t="shared" si="10"/>
        <v>0</v>
      </c>
      <c r="R330" s="63">
        <f t="shared" si="10"/>
        <v>0</v>
      </c>
      <c r="S330" s="63">
        <f t="shared" si="10"/>
        <v>0</v>
      </c>
      <c r="T330" s="63">
        <f t="shared" si="10"/>
        <v>0</v>
      </c>
      <c r="U330" s="63">
        <f t="shared" si="10"/>
        <v>0</v>
      </c>
      <c r="V330" s="92"/>
      <c r="W330" s="75"/>
      <c r="X330" s="75"/>
      <c r="Y330" s="75"/>
      <c r="Z330" s="96"/>
      <c r="AA330" s="96"/>
      <c r="AB330" s="75"/>
      <c r="AC330" s="75"/>
      <c r="AD330" s="75"/>
      <c r="AE330" s="75"/>
      <c r="AF330" s="75"/>
      <c r="AG330" s="75"/>
      <c r="AH330" s="75"/>
      <c r="AI330" s="75"/>
      <c r="AJ330" s="81"/>
      <c r="AK330" s="75"/>
      <c r="AL330" s="75"/>
    </row>
    <row r="331" spans="1:38" x14ac:dyDescent="0.25">
      <c r="A331" s="75"/>
      <c r="B331" s="75"/>
      <c r="C331" s="36"/>
      <c r="D331" s="37"/>
      <c r="E331" s="58" t="s">
        <v>17</v>
      </c>
      <c r="F331" s="54"/>
      <c r="G331" s="87"/>
      <c r="H331" s="55">
        <f>H5-H330</f>
        <v>10</v>
      </c>
      <c r="I331" s="186">
        <f>I5-J330</f>
        <v>10</v>
      </c>
      <c r="J331" s="187"/>
      <c r="K331" s="186">
        <f>K5-L330</f>
        <v>10</v>
      </c>
      <c r="L331" s="187"/>
      <c r="M331" s="55">
        <f>M5-M330</f>
        <v>10</v>
      </c>
      <c r="N331" s="55">
        <f>M5-N330</f>
        <v>10</v>
      </c>
      <c r="O331" s="186">
        <f>O5-(O330+P330)</f>
        <v>10</v>
      </c>
      <c r="P331" s="187"/>
      <c r="Q331" s="186">
        <f>Q5-SUM(Q330:U330)</f>
        <v>10</v>
      </c>
      <c r="R331" s="190"/>
      <c r="S331" s="190"/>
      <c r="T331" s="190"/>
      <c r="U331" s="187"/>
      <c r="V331" s="90"/>
      <c r="W331" s="75"/>
      <c r="X331" s="75"/>
      <c r="Y331" s="75"/>
      <c r="Z331" s="96"/>
      <c r="AA331" s="96"/>
      <c r="AB331" s="75"/>
      <c r="AC331" s="75"/>
      <c r="AD331" s="75"/>
      <c r="AE331" s="75"/>
      <c r="AF331" s="75"/>
      <c r="AG331" s="75"/>
      <c r="AH331" s="75"/>
      <c r="AI331" s="75"/>
      <c r="AJ331" s="81"/>
      <c r="AK331" s="75"/>
      <c r="AL331" s="75"/>
    </row>
    <row r="332" spans="1:38" ht="30" x14ac:dyDescent="0.25">
      <c r="A332" s="75"/>
      <c r="B332" s="75"/>
      <c r="C332" s="27"/>
      <c r="D332" s="27"/>
      <c r="E332" s="143" t="s">
        <v>86</v>
      </c>
      <c r="F332" s="53"/>
      <c r="G332" s="87"/>
      <c r="H332" s="56">
        <f ca="1">H330/((H5/365)*Données!$B$3)</f>
        <v>0</v>
      </c>
      <c r="I332" s="188">
        <f ca="1">J330/((I5/365)*Données!$B$3)</f>
        <v>0</v>
      </c>
      <c r="J332" s="189"/>
      <c r="K332" s="188">
        <f ca="1">L330/((K5/365)*Données!$B$3)</f>
        <v>0</v>
      </c>
      <c r="L332" s="189"/>
      <c r="M332" s="56">
        <f ca="1">M330/((M5/365)*Données!$B$3)</f>
        <v>0</v>
      </c>
      <c r="N332" s="56">
        <f ca="1">N330/((N5/365)*Données!$B$3)</f>
        <v>0</v>
      </c>
      <c r="O332" s="188">
        <f ca="1">(O330+P330)/((O5/365)*Données!$B$3)</f>
        <v>0</v>
      </c>
      <c r="P332" s="189"/>
      <c r="Q332" s="188">
        <f ca="1">SUM(Q330:U330)/((Q5/365)*Données!$B$3)</f>
        <v>0</v>
      </c>
      <c r="R332" s="191"/>
      <c r="S332" s="191"/>
      <c r="T332" s="191"/>
      <c r="U332" s="189"/>
      <c r="V332" s="93"/>
      <c r="W332" s="75"/>
      <c r="X332" s="75"/>
      <c r="Y332" s="75"/>
      <c r="Z332" s="96"/>
      <c r="AA332" s="96"/>
      <c r="AB332" s="75"/>
      <c r="AC332" s="75"/>
      <c r="AD332" s="75"/>
      <c r="AE332" s="75"/>
      <c r="AF332" s="75"/>
      <c r="AG332" s="75"/>
      <c r="AH332" s="75"/>
      <c r="AI332" s="75"/>
      <c r="AJ332" s="81"/>
      <c r="AK332" s="75"/>
      <c r="AL332" s="75"/>
    </row>
    <row r="333" spans="1:38" ht="30" x14ac:dyDescent="0.25">
      <c r="A333" s="75"/>
      <c r="B333" s="75"/>
      <c r="C333" s="27"/>
      <c r="D333" s="27"/>
      <c r="E333" s="143" t="s">
        <v>87</v>
      </c>
      <c r="F333" s="53"/>
      <c r="G333" s="87"/>
      <c r="H333" s="56">
        <f>H330/H5</f>
        <v>0</v>
      </c>
      <c r="I333" s="188">
        <f>J330/I5</f>
        <v>0</v>
      </c>
      <c r="J333" s="189"/>
      <c r="K333" s="188">
        <f>L330/K5</f>
        <v>0</v>
      </c>
      <c r="L333" s="189"/>
      <c r="M333" s="56">
        <f>M330/M5</f>
        <v>0</v>
      </c>
      <c r="N333" s="56">
        <f>N330/M5</f>
        <v>0</v>
      </c>
      <c r="O333" s="188">
        <f>(O330+P330)/O5</f>
        <v>0</v>
      </c>
      <c r="P333" s="189"/>
      <c r="Q333" s="188">
        <f>SUM(Q330:U330)/Q5</f>
        <v>0</v>
      </c>
      <c r="R333" s="191"/>
      <c r="S333" s="191"/>
      <c r="T333" s="191"/>
      <c r="U333" s="189"/>
      <c r="V333" s="93"/>
      <c r="W333" s="75"/>
      <c r="X333" s="75"/>
      <c r="Y333" s="75"/>
      <c r="Z333" s="96"/>
      <c r="AA333" s="96"/>
      <c r="AB333" s="75"/>
      <c r="AC333" s="75"/>
      <c r="AD333" s="75"/>
      <c r="AE333" s="75"/>
      <c r="AF333" s="75"/>
      <c r="AG333" s="75"/>
      <c r="AH333" s="75"/>
      <c r="AI333" s="75"/>
      <c r="AJ333" s="81"/>
      <c r="AK333" s="75"/>
      <c r="AL333" s="75"/>
    </row>
    <row r="334" spans="1:38" s="49" customFormat="1" x14ac:dyDescent="0.25">
      <c r="A334" s="80"/>
      <c r="B334" s="82"/>
      <c r="C334" s="83"/>
      <c r="D334" s="83"/>
      <c r="E334" s="83"/>
      <c r="F334" s="80"/>
      <c r="G334" s="80"/>
      <c r="H334" s="80"/>
      <c r="I334" s="80"/>
      <c r="J334" s="80"/>
      <c r="K334" s="80"/>
      <c r="L334" s="80"/>
      <c r="M334" s="80"/>
      <c r="N334" s="80"/>
      <c r="O334" s="80"/>
      <c r="P334" s="80"/>
      <c r="Q334" s="80"/>
      <c r="R334" s="80"/>
      <c r="S334" s="80"/>
      <c r="T334" s="80"/>
      <c r="U334" s="80"/>
      <c r="V334" s="84"/>
      <c r="W334" s="80"/>
      <c r="X334" s="80"/>
      <c r="Y334" s="80"/>
      <c r="Z334" s="98"/>
      <c r="AA334" s="98"/>
      <c r="AB334" s="80"/>
      <c r="AC334" s="80"/>
      <c r="AD334" s="80"/>
      <c r="AE334" s="80"/>
      <c r="AF334" s="80"/>
      <c r="AG334" s="80"/>
      <c r="AH334" s="80"/>
      <c r="AI334" s="80"/>
      <c r="AJ334" s="95"/>
      <c r="AK334" s="80"/>
      <c r="AL334" s="80"/>
    </row>
    <row r="335" spans="1:38" s="48" customFormat="1" x14ac:dyDescent="0.25">
      <c r="A335" s="75"/>
      <c r="B335" s="82"/>
      <c r="C335" s="76"/>
      <c r="D335" s="76"/>
      <c r="E335" s="75"/>
      <c r="F335" s="75"/>
      <c r="G335" s="75"/>
      <c r="H335" s="75"/>
      <c r="I335" s="75"/>
      <c r="J335" s="75"/>
      <c r="K335" s="75"/>
      <c r="L335" s="75"/>
      <c r="M335" s="75"/>
      <c r="N335" s="75"/>
      <c r="O335" s="75"/>
      <c r="P335" s="75"/>
      <c r="Q335" s="75"/>
      <c r="R335" s="75"/>
      <c r="S335" s="75"/>
      <c r="T335" s="75"/>
      <c r="U335" s="75"/>
      <c r="V335" s="77"/>
      <c r="W335" s="75"/>
      <c r="X335" s="75"/>
      <c r="Y335" s="75"/>
      <c r="Z335" s="96"/>
      <c r="AA335" s="96"/>
      <c r="AB335" s="75"/>
      <c r="AC335" s="75"/>
      <c r="AD335" s="75"/>
      <c r="AE335" s="75"/>
      <c r="AF335" s="75"/>
      <c r="AG335" s="75"/>
      <c r="AH335" s="75"/>
      <c r="AI335" s="75"/>
      <c r="AJ335" s="81"/>
      <c r="AK335" s="75"/>
      <c r="AL335" s="75"/>
    </row>
    <row r="336" spans="1:38" s="48" customFormat="1" x14ac:dyDescent="0.25">
      <c r="A336" s="75"/>
      <c r="B336" s="82"/>
      <c r="C336" s="76"/>
      <c r="D336" s="76"/>
      <c r="E336" s="75"/>
      <c r="F336" s="75"/>
      <c r="G336" s="75"/>
      <c r="H336" s="75"/>
      <c r="I336" s="75"/>
      <c r="J336" s="75"/>
      <c r="K336" s="75"/>
      <c r="L336" s="75"/>
      <c r="M336" s="75"/>
      <c r="N336" s="75"/>
      <c r="O336" s="75"/>
      <c r="P336" s="75"/>
      <c r="Q336" s="75"/>
      <c r="R336" s="75"/>
      <c r="S336" s="75"/>
      <c r="T336" s="75"/>
      <c r="U336" s="75"/>
      <c r="V336" s="77"/>
      <c r="W336" s="75"/>
      <c r="X336" s="75"/>
      <c r="Y336" s="75"/>
      <c r="Z336" s="96"/>
      <c r="AA336" s="96"/>
      <c r="AB336" s="75"/>
      <c r="AC336" s="75"/>
      <c r="AD336" s="75"/>
      <c r="AE336" s="75"/>
      <c r="AF336" s="75"/>
      <c r="AG336" s="75"/>
      <c r="AH336" s="75"/>
      <c r="AI336" s="75"/>
      <c r="AJ336" s="81"/>
      <c r="AK336" s="75"/>
      <c r="AL336" s="75"/>
    </row>
    <row r="337" spans="1:38" s="48" customFormat="1" x14ac:dyDescent="0.25">
      <c r="A337" s="75"/>
      <c r="B337" s="82"/>
      <c r="C337" s="76"/>
      <c r="D337" s="76"/>
      <c r="E337" s="75"/>
      <c r="F337" s="75"/>
      <c r="G337" s="75"/>
      <c r="H337" s="75"/>
      <c r="I337" s="75"/>
      <c r="J337" s="75"/>
      <c r="K337" s="75"/>
      <c r="L337" s="75"/>
      <c r="M337" s="75"/>
      <c r="N337" s="75"/>
      <c r="O337" s="75"/>
      <c r="P337" s="75"/>
      <c r="Q337" s="75"/>
      <c r="R337" s="75"/>
      <c r="S337" s="75"/>
      <c r="T337" s="75"/>
      <c r="U337" s="75"/>
      <c r="V337" s="77"/>
      <c r="W337" s="75"/>
      <c r="X337" s="75"/>
      <c r="Y337" s="75"/>
      <c r="Z337" s="96"/>
      <c r="AA337" s="96"/>
      <c r="AB337" s="75"/>
      <c r="AC337" s="75"/>
      <c r="AD337" s="75"/>
      <c r="AE337" s="75"/>
      <c r="AF337" s="75"/>
      <c r="AG337" s="75"/>
      <c r="AH337" s="75"/>
      <c r="AI337" s="75"/>
      <c r="AJ337" s="81"/>
      <c r="AK337" s="75"/>
      <c r="AL337" s="75"/>
    </row>
    <row r="338" spans="1:38" s="48" customFormat="1" x14ac:dyDescent="0.25">
      <c r="A338" s="75"/>
      <c r="B338" s="82"/>
      <c r="C338" s="76"/>
      <c r="D338" s="76"/>
      <c r="E338" s="75"/>
      <c r="F338" s="75"/>
      <c r="G338" s="75"/>
      <c r="H338" s="75"/>
      <c r="I338" s="75"/>
      <c r="J338" s="75"/>
      <c r="K338" s="75"/>
      <c r="L338" s="75"/>
      <c r="M338" s="75"/>
      <c r="N338" s="75"/>
      <c r="O338" s="75"/>
      <c r="P338" s="75"/>
      <c r="Q338" s="75"/>
      <c r="R338" s="75"/>
      <c r="S338" s="75"/>
      <c r="T338" s="75"/>
      <c r="U338" s="75"/>
      <c r="V338" s="77"/>
      <c r="W338" s="75"/>
      <c r="X338" s="75"/>
      <c r="Y338" s="75"/>
      <c r="Z338" s="96"/>
      <c r="AA338" s="96"/>
      <c r="AB338" s="75"/>
      <c r="AC338" s="75"/>
      <c r="AD338" s="75"/>
      <c r="AE338" s="75"/>
      <c r="AF338" s="75"/>
      <c r="AG338" s="75"/>
      <c r="AH338" s="75"/>
      <c r="AI338" s="75"/>
      <c r="AJ338" s="81"/>
      <c r="AK338" s="75"/>
      <c r="AL338" s="75"/>
    </row>
    <row r="339" spans="1:38" s="48" customFormat="1" x14ac:dyDescent="0.25">
      <c r="A339" s="75"/>
      <c r="B339" s="82"/>
      <c r="C339" s="85"/>
      <c r="D339" s="85"/>
      <c r="E339" s="75"/>
      <c r="F339" s="75"/>
      <c r="G339" s="75"/>
      <c r="H339" s="75"/>
      <c r="I339" s="75"/>
      <c r="J339" s="75"/>
      <c r="K339" s="75"/>
      <c r="L339" s="75"/>
      <c r="M339" s="75"/>
      <c r="N339" s="75"/>
      <c r="O339" s="75"/>
      <c r="P339" s="75"/>
      <c r="Q339" s="75"/>
      <c r="R339" s="75"/>
      <c r="S339" s="75"/>
      <c r="T339" s="75"/>
      <c r="U339" s="75"/>
      <c r="V339" s="77"/>
      <c r="W339" s="75"/>
      <c r="X339" s="75"/>
      <c r="Y339" s="75"/>
      <c r="Z339" s="78"/>
      <c r="AA339" s="78"/>
      <c r="AB339" s="75"/>
      <c r="AC339" s="75"/>
      <c r="AD339" s="75"/>
      <c r="AE339" s="75"/>
      <c r="AF339" s="75"/>
      <c r="AG339" s="75"/>
      <c r="AH339" s="75"/>
      <c r="AI339" s="75"/>
      <c r="AJ339" s="81"/>
      <c r="AK339" s="75"/>
      <c r="AL339" s="75"/>
    </row>
    <row r="340" spans="1:38" s="48" customFormat="1" x14ac:dyDescent="0.25">
      <c r="A340" s="75"/>
      <c r="B340" s="82"/>
      <c r="C340" s="76"/>
      <c r="D340" s="76"/>
      <c r="E340" s="75"/>
      <c r="F340" s="75"/>
      <c r="G340" s="75"/>
      <c r="H340" s="75"/>
      <c r="I340" s="75"/>
      <c r="J340" s="75"/>
      <c r="K340" s="75"/>
      <c r="L340" s="75"/>
      <c r="M340" s="75"/>
      <c r="N340" s="75"/>
      <c r="O340" s="75"/>
      <c r="P340" s="75"/>
      <c r="Q340" s="75"/>
      <c r="R340" s="75"/>
      <c r="S340" s="75"/>
      <c r="T340" s="75"/>
      <c r="U340" s="75"/>
      <c r="V340" s="77"/>
      <c r="W340" s="75"/>
      <c r="X340" s="75"/>
      <c r="Y340" s="75"/>
      <c r="Z340" s="78"/>
      <c r="AA340" s="78"/>
      <c r="AB340" s="75"/>
      <c r="AC340" s="75"/>
      <c r="AD340" s="75"/>
      <c r="AE340" s="75"/>
      <c r="AF340" s="75"/>
      <c r="AG340" s="75"/>
      <c r="AH340" s="75"/>
      <c r="AI340" s="75"/>
      <c r="AJ340" s="81"/>
      <c r="AK340" s="75"/>
      <c r="AL340" s="75"/>
    </row>
    <row r="341" spans="1:38" s="69" customFormat="1" x14ac:dyDescent="0.25">
      <c r="A341" s="75"/>
      <c r="B341" s="75"/>
      <c r="C341" s="76"/>
      <c r="D341" s="76"/>
      <c r="E341" s="75"/>
      <c r="F341" s="75"/>
      <c r="G341" s="75"/>
      <c r="H341" s="75"/>
      <c r="I341" s="75"/>
      <c r="J341" s="75"/>
      <c r="K341" s="75"/>
      <c r="L341" s="75"/>
      <c r="M341" s="75"/>
      <c r="N341" s="75"/>
      <c r="O341" s="75"/>
      <c r="P341" s="75"/>
      <c r="Q341" s="75"/>
      <c r="R341" s="75"/>
      <c r="S341" s="75"/>
      <c r="T341" s="75"/>
      <c r="U341" s="75"/>
      <c r="V341" s="77"/>
      <c r="W341" s="75"/>
      <c r="X341" s="75"/>
      <c r="Y341" s="75"/>
      <c r="Z341" s="78"/>
      <c r="AA341" s="78"/>
      <c r="AB341" s="75"/>
      <c r="AC341" s="75"/>
      <c r="AD341" s="75"/>
      <c r="AE341" s="75"/>
      <c r="AF341" s="75"/>
      <c r="AG341" s="75"/>
      <c r="AH341" s="75"/>
      <c r="AI341" s="75"/>
      <c r="AJ341" s="81"/>
      <c r="AK341" s="75"/>
      <c r="AL341" s="75"/>
    </row>
    <row r="342" spans="1:38" s="69" customFormat="1" x14ac:dyDescent="0.25">
      <c r="A342" s="75"/>
      <c r="B342" s="75"/>
      <c r="C342" s="76"/>
      <c r="D342" s="76"/>
      <c r="E342" s="75"/>
      <c r="F342" s="75"/>
      <c r="G342" s="75"/>
      <c r="H342" s="75"/>
      <c r="I342" s="75"/>
      <c r="J342" s="75"/>
      <c r="K342" s="75"/>
      <c r="L342" s="75"/>
      <c r="M342" s="75"/>
      <c r="N342" s="75"/>
      <c r="O342" s="75"/>
      <c r="P342" s="75"/>
      <c r="Q342" s="75"/>
      <c r="R342" s="75"/>
      <c r="S342" s="75"/>
      <c r="T342" s="75"/>
      <c r="U342" s="75"/>
      <c r="V342" s="77"/>
      <c r="W342" s="75"/>
      <c r="X342" s="75"/>
      <c r="Y342" s="75"/>
      <c r="Z342" s="78"/>
      <c r="AA342" s="78"/>
      <c r="AB342" s="75"/>
      <c r="AC342" s="75"/>
      <c r="AD342" s="75"/>
      <c r="AE342" s="75"/>
      <c r="AF342" s="75"/>
      <c r="AG342" s="75"/>
      <c r="AH342" s="75"/>
      <c r="AI342" s="75"/>
      <c r="AJ342" s="81"/>
      <c r="AK342" s="75"/>
      <c r="AL342" s="75"/>
    </row>
    <row r="343" spans="1:38" s="69" customFormat="1" x14ac:dyDescent="0.25">
      <c r="A343" s="75"/>
      <c r="B343" s="75"/>
      <c r="C343" s="76"/>
      <c r="D343" s="76"/>
      <c r="E343" s="75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7"/>
      <c r="W343" s="75"/>
      <c r="X343" s="75"/>
      <c r="Y343" s="75"/>
      <c r="Z343" s="78"/>
      <c r="AA343" s="78"/>
      <c r="AB343" s="75"/>
      <c r="AC343" s="75"/>
      <c r="AD343" s="75"/>
      <c r="AE343" s="75"/>
      <c r="AF343" s="75"/>
      <c r="AG343" s="75"/>
      <c r="AH343" s="75"/>
      <c r="AI343" s="75"/>
      <c r="AJ343" s="81"/>
      <c r="AK343" s="75"/>
      <c r="AL343" s="75"/>
    </row>
    <row r="344" spans="1:38" s="69" customFormat="1" x14ac:dyDescent="0.25">
      <c r="A344" s="75"/>
      <c r="B344" s="75"/>
      <c r="C344" s="76"/>
      <c r="D344" s="76"/>
      <c r="E344" s="75"/>
      <c r="F344" s="75"/>
      <c r="G344" s="75"/>
      <c r="H344" s="75"/>
      <c r="I344" s="75"/>
      <c r="J344" s="75"/>
      <c r="K344" s="75"/>
      <c r="L344" s="75"/>
      <c r="M344" s="75"/>
      <c r="N344" s="75"/>
      <c r="O344" s="75"/>
      <c r="P344" s="75"/>
      <c r="Q344" s="75"/>
      <c r="R344" s="75"/>
      <c r="S344" s="75"/>
      <c r="T344" s="75"/>
      <c r="U344" s="75"/>
      <c r="V344" s="77"/>
      <c r="W344" s="75"/>
      <c r="X344" s="75"/>
      <c r="Y344" s="75"/>
      <c r="Z344" s="78"/>
      <c r="AA344" s="78"/>
      <c r="AB344" s="75"/>
      <c r="AC344" s="75"/>
      <c r="AD344" s="75"/>
      <c r="AE344" s="75"/>
      <c r="AF344" s="75"/>
      <c r="AG344" s="75"/>
      <c r="AH344" s="75"/>
      <c r="AI344" s="75"/>
      <c r="AJ344" s="81"/>
      <c r="AK344" s="75"/>
      <c r="AL344" s="75"/>
    </row>
    <row r="345" spans="1:38" s="69" customFormat="1" x14ac:dyDescent="0.25">
      <c r="A345" s="75"/>
      <c r="B345" s="75"/>
      <c r="C345" s="76"/>
      <c r="D345" s="76"/>
      <c r="E345" s="75"/>
      <c r="F345" s="75"/>
      <c r="G345" s="75"/>
      <c r="H345" s="75"/>
      <c r="I345" s="75"/>
      <c r="J345" s="75"/>
      <c r="K345" s="75"/>
      <c r="L345" s="75"/>
      <c r="M345" s="75"/>
      <c r="N345" s="75"/>
      <c r="O345" s="75"/>
      <c r="P345" s="75"/>
      <c r="Q345" s="75"/>
      <c r="R345" s="75"/>
      <c r="S345" s="75"/>
      <c r="T345" s="75"/>
      <c r="U345" s="75"/>
      <c r="V345" s="77"/>
      <c r="W345" s="75"/>
      <c r="X345" s="75"/>
      <c r="Y345" s="75"/>
      <c r="Z345" s="78"/>
      <c r="AA345" s="78"/>
      <c r="AB345" s="75"/>
      <c r="AC345" s="75"/>
      <c r="AD345" s="75"/>
      <c r="AE345" s="75"/>
      <c r="AF345" s="75"/>
      <c r="AG345" s="75"/>
      <c r="AH345" s="75"/>
      <c r="AI345" s="75"/>
      <c r="AJ345" s="81"/>
      <c r="AK345" s="75"/>
      <c r="AL345" s="75"/>
    </row>
    <row r="346" spans="1:38" s="69" customFormat="1" x14ac:dyDescent="0.25">
      <c r="A346" s="75"/>
      <c r="B346" s="75"/>
      <c r="C346" s="76"/>
      <c r="D346" s="76"/>
      <c r="E346" s="75"/>
      <c r="F346" s="75"/>
      <c r="G346" s="75"/>
      <c r="H346" s="75"/>
      <c r="I346" s="75"/>
      <c r="J346" s="75"/>
      <c r="K346" s="75"/>
      <c r="L346" s="75"/>
      <c r="M346" s="75"/>
      <c r="N346" s="75"/>
      <c r="O346" s="75"/>
      <c r="P346" s="75"/>
      <c r="Q346" s="75"/>
      <c r="R346" s="75"/>
      <c r="S346" s="75"/>
      <c r="T346" s="75"/>
      <c r="U346" s="75"/>
      <c r="V346" s="77"/>
      <c r="W346" s="75"/>
      <c r="X346" s="75"/>
      <c r="Y346" s="75"/>
      <c r="Z346" s="78"/>
      <c r="AA346" s="78"/>
      <c r="AB346" s="75"/>
      <c r="AC346" s="75"/>
      <c r="AD346" s="75"/>
      <c r="AE346" s="75"/>
      <c r="AF346" s="75"/>
      <c r="AG346" s="75"/>
      <c r="AH346" s="75"/>
      <c r="AI346" s="75"/>
      <c r="AJ346" s="81"/>
      <c r="AK346" s="75"/>
      <c r="AL346" s="75"/>
    </row>
    <row r="347" spans="1:38" s="69" customFormat="1" x14ac:dyDescent="0.25">
      <c r="A347" s="75"/>
      <c r="B347" s="75"/>
      <c r="C347" s="76"/>
      <c r="D347" s="76"/>
      <c r="E347" s="75"/>
      <c r="F347" s="75"/>
      <c r="G347" s="75"/>
      <c r="H347" s="75"/>
      <c r="I347" s="75"/>
      <c r="J347" s="75"/>
      <c r="K347" s="75"/>
      <c r="L347" s="75"/>
      <c r="M347" s="75"/>
      <c r="N347" s="75"/>
      <c r="O347" s="75"/>
      <c r="P347" s="75"/>
      <c r="Q347" s="75"/>
      <c r="R347" s="75"/>
      <c r="S347" s="75"/>
      <c r="T347" s="75"/>
      <c r="U347" s="75"/>
      <c r="V347" s="77"/>
      <c r="W347" s="75"/>
      <c r="X347" s="75"/>
      <c r="Y347" s="75"/>
      <c r="Z347" s="78"/>
      <c r="AA347" s="78"/>
      <c r="AB347" s="75"/>
      <c r="AC347" s="75"/>
      <c r="AD347" s="75"/>
      <c r="AE347" s="75"/>
      <c r="AF347" s="75"/>
      <c r="AG347" s="75"/>
      <c r="AH347" s="75"/>
      <c r="AI347" s="75"/>
      <c r="AJ347" s="81"/>
      <c r="AK347" s="75"/>
      <c r="AL347" s="75"/>
    </row>
    <row r="348" spans="1:38" s="69" customFormat="1" x14ac:dyDescent="0.25">
      <c r="A348" s="75"/>
      <c r="B348" s="75"/>
      <c r="C348" s="76"/>
      <c r="D348" s="76"/>
      <c r="E348" s="75"/>
      <c r="F348" s="75"/>
      <c r="G348" s="75"/>
      <c r="H348" s="75"/>
      <c r="I348" s="75"/>
      <c r="J348" s="75"/>
      <c r="K348" s="75"/>
      <c r="L348" s="75"/>
      <c r="M348" s="75"/>
      <c r="N348" s="75"/>
      <c r="O348" s="75"/>
      <c r="P348" s="75"/>
      <c r="Q348" s="75"/>
      <c r="R348" s="75"/>
      <c r="S348" s="75"/>
      <c r="T348" s="75"/>
      <c r="U348" s="75"/>
      <c r="V348" s="77"/>
      <c r="W348" s="75"/>
      <c r="X348" s="75"/>
      <c r="Y348" s="75"/>
      <c r="Z348" s="78"/>
      <c r="AA348" s="78"/>
      <c r="AB348" s="75"/>
      <c r="AC348" s="75"/>
      <c r="AD348" s="75"/>
      <c r="AE348" s="75"/>
      <c r="AF348" s="75"/>
      <c r="AG348" s="75"/>
      <c r="AH348" s="75"/>
      <c r="AI348" s="75"/>
      <c r="AJ348" s="81"/>
      <c r="AK348" s="75"/>
      <c r="AL348" s="75"/>
    </row>
    <row r="349" spans="1:38" s="69" customFormat="1" x14ac:dyDescent="0.25">
      <c r="A349" s="75"/>
      <c r="B349" s="75"/>
      <c r="C349" s="76"/>
      <c r="D349" s="76"/>
      <c r="E349" s="75"/>
      <c r="F349" s="75"/>
      <c r="G349" s="75"/>
      <c r="H349" s="75"/>
      <c r="I349" s="75"/>
      <c r="J349" s="75"/>
      <c r="K349" s="75"/>
      <c r="L349" s="75"/>
      <c r="M349" s="75"/>
      <c r="N349" s="75"/>
      <c r="O349" s="75"/>
      <c r="P349" s="75"/>
      <c r="Q349" s="75"/>
      <c r="R349" s="75"/>
      <c r="S349" s="75"/>
      <c r="T349" s="75"/>
      <c r="U349" s="75"/>
      <c r="V349" s="77"/>
      <c r="W349" s="75"/>
      <c r="X349" s="75"/>
      <c r="Y349" s="75"/>
      <c r="Z349" s="78"/>
      <c r="AA349" s="78"/>
      <c r="AB349" s="75"/>
      <c r="AC349" s="75"/>
      <c r="AD349" s="75"/>
      <c r="AE349" s="75"/>
      <c r="AF349" s="75"/>
      <c r="AG349" s="75"/>
      <c r="AH349" s="75"/>
      <c r="AI349" s="75"/>
      <c r="AJ349" s="81"/>
      <c r="AK349" s="75"/>
      <c r="AL349" s="75"/>
    </row>
    <row r="350" spans="1:38" s="69" customFormat="1" x14ac:dyDescent="0.25">
      <c r="A350" s="75"/>
      <c r="B350" s="75"/>
      <c r="C350" s="76"/>
      <c r="D350" s="76"/>
      <c r="E350" s="75"/>
      <c r="F350" s="75"/>
      <c r="G350" s="75"/>
      <c r="H350" s="75"/>
      <c r="I350" s="75"/>
      <c r="J350" s="75"/>
      <c r="K350" s="75"/>
      <c r="L350" s="75"/>
      <c r="M350" s="75"/>
      <c r="N350" s="75"/>
      <c r="O350" s="75"/>
      <c r="P350" s="75"/>
      <c r="Q350" s="75"/>
      <c r="R350" s="75"/>
      <c r="S350" s="75"/>
      <c r="T350" s="75"/>
      <c r="U350" s="75"/>
      <c r="V350" s="77"/>
      <c r="W350" s="75"/>
      <c r="X350" s="75"/>
      <c r="Y350" s="75"/>
      <c r="Z350" s="78"/>
      <c r="AA350" s="78"/>
      <c r="AB350" s="75"/>
      <c r="AC350" s="75"/>
      <c r="AD350" s="75"/>
      <c r="AE350" s="75"/>
      <c r="AF350" s="75"/>
      <c r="AG350" s="75"/>
      <c r="AH350" s="75"/>
      <c r="AI350" s="75"/>
      <c r="AJ350" s="81"/>
      <c r="AK350" s="75"/>
      <c r="AL350" s="75"/>
    </row>
    <row r="351" spans="1:38" s="69" customFormat="1" x14ac:dyDescent="0.25">
      <c r="A351" s="75"/>
      <c r="B351" s="75"/>
      <c r="C351" s="76"/>
      <c r="D351" s="76"/>
      <c r="E351" s="75"/>
      <c r="F351" s="75"/>
      <c r="G351" s="75"/>
      <c r="H351" s="75"/>
      <c r="I351" s="75"/>
      <c r="J351" s="75"/>
      <c r="K351" s="75"/>
      <c r="L351" s="75"/>
      <c r="M351" s="75"/>
      <c r="N351" s="75"/>
      <c r="O351" s="75"/>
      <c r="P351" s="75"/>
      <c r="Q351" s="75"/>
      <c r="R351" s="75"/>
      <c r="S351" s="75"/>
      <c r="T351" s="75"/>
      <c r="U351" s="75"/>
      <c r="V351" s="77"/>
      <c r="W351" s="75"/>
      <c r="X351" s="75"/>
      <c r="Y351" s="75"/>
      <c r="Z351" s="78"/>
      <c r="AA351" s="78"/>
      <c r="AB351" s="75"/>
      <c r="AC351" s="75"/>
      <c r="AD351" s="75"/>
      <c r="AE351" s="75"/>
      <c r="AF351" s="75"/>
      <c r="AG351" s="75"/>
      <c r="AH351" s="75"/>
      <c r="AI351" s="75"/>
      <c r="AJ351" s="81"/>
      <c r="AK351" s="75"/>
      <c r="AL351" s="75"/>
    </row>
    <row r="352" spans="1:38" s="69" customFormat="1" x14ac:dyDescent="0.25">
      <c r="A352" s="75"/>
      <c r="B352" s="75"/>
      <c r="C352" s="76"/>
      <c r="D352" s="76"/>
      <c r="E352" s="75"/>
      <c r="F352" s="75"/>
      <c r="G352" s="75"/>
      <c r="H352" s="75"/>
      <c r="I352" s="75"/>
      <c r="J352" s="75"/>
      <c r="K352" s="75"/>
      <c r="L352" s="75"/>
      <c r="M352" s="75"/>
      <c r="N352" s="75"/>
      <c r="O352" s="75"/>
      <c r="P352" s="75"/>
      <c r="Q352" s="75"/>
      <c r="R352" s="75"/>
      <c r="S352" s="75"/>
      <c r="T352" s="75"/>
      <c r="U352" s="75"/>
      <c r="V352" s="77"/>
      <c r="W352" s="75"/>
      <c r="X352" s="75"/>
      <c r="Y352" s="75"/>
      <c r="Z352" s="78"/>
      <c r="AA352" s="78"/>
      <c r="AB352" s="75"/>
      <c r="AC352" s="75"/>
      <c r="AD352" s="75"/>
      <c r="AE352" s="75"/>
      <c r="AF352" s="75"/>
      <c r="AG352" s="75"/>
      <c r="AH352" s="75"/>
      <c r="AI352" s="75"/>
      <c r="AJ352" s="81"/>
      <c r="AK352" s="75"/>
      <c r="AL352" s="75"/>
    </row>
    <row r="353" spans="1:38" s="69" customFormat="1" x14ac:dyDescent="0.25">
      <c r="A353" s="75"/>
      <c r="B353" s="75"/>
      <c r="C353" s="76"/>
      <c r="D353" s="76"/>
      <c r="E353" s="75"/>
      <c r="F353" s="75"/>
      <c r="G353" s="75"/>
      <c r="H353" s="75"/>
      <c r="I353" s="75"/>
      <c r="J353" s="75"/>
      <c r="K353" s="75"/>
      <c r="L353" s="75"/>
      <c r="M353" s="75"/>
      <c r="N353" s="75"/>
      <c r="O353" s="75"/>
      <c r="P353" s="75"/>
      <c r="Q353" s="75"/>
      <c r="R353" s="75"/>
      <c r="S353" s="75"/>
      <c r="T353" s="75"/>
      <c r="U353" s="75"/>
      <c r="V353" s="77"/>
      <c r="W353" s="75"/>
      <c r="X353" s="75"/>
      <c r="Y353" s="75"/>
      <c r="Z353" s="78"/>
      <c r="AA353" s="78"/>
      <c r="AB353" s="75"/>
      <c r="AC353" s="75"/>
      <c r="AD353" s="75"/>
      <c r="AE353" s="75"/>
      <c r="AF353" s="75"/>
      <c r="AG353" s="75"/>
      <c r="AH353" s="75"/>
      <c r="AI353" s="75"/>
      <c r="AJ353" s="81"/>
      <c r="AK353" s="75"/>
      <c r="AL353" s="75"/>
    </row>
    <row r="354" spans="1:38" s="69" customFormat="1" x14ac:dyDescent="0.25">
      <c r="A354" s="75"/>
      <c r="B354" s="75"/>
      <c r="C354" s="76"/>
      <c r="D354" s="76"/>
      <c r="E354" s="75"/>
      <c r="F354" s="75"/>
      <c r="G354" s="75"/>
      <c r="H354" s="75"/>
      <c r="I354" s="75"/>
      <c r="J354" s="75"/>
      <c r="K354" s="75"/>
      <c r="L354" s="75"/>
      <c r="M354" s="75"/>
      <c r="N354" s="75"/>
      <c r="O354" s="75"/>
      <c r="P354" s="75"/>
      <c r="Q354" s="75"/>
      <c r="R354" s="75"/>
      <c r="S354" s="75"/>
      <c r="T354" s="75"/>
      <c r="U354" s="75"/>
      <c r="V354" s="77"/>
      <c r="W354" s="75"/>
      <c r="X354" s="75"/>
      <c r="Y354" s="75"/>
      <c r="Z354" s="78"/>
      <c r="AA354" s="78"/>
      <c r="AB354" s="75"/>
      <c r="AC354" s="75"/>
      <c r="AD354" s="75"/>
      <c r="AE354" s="75"/>
      <c r="AF354" s="75"/>
      <c r="AG354" s="75"/>
      <c r="AH354" s="75"/>
      <c r="AI354" s="75"/>
      <c r="AJ354" s="81"/>
      <c r="AK354" s="75"/>
      <c r="AL354" s="75"/>
    </row>
    <row r="355" spans="1:38" s="69" customFormat="1" x14ac:dyDescent="0.25">
      <c r="A355" s="75"/>
      <c r="B355" s="75"/>
      <c r="C355" s="76"/>
      <c r="D355" s="76"/>
      <c r="E355" s="75"/>
      <c r="F355" s="75"/>
      <c r="G355" s="75"/>
      <c r="H355" s="75"/>
      <c r="I355" s="75"/>
      <c r="J355" s="75"/>
      <c r="K355" s="75"/>
      <c r="L355" s="75"/>
      <c r="M355" s="75"/>
      <c r="N355" s="75"/>
      <c r="O355" s="75"/>
      <c r="P355" s="75"/>
      <c r="Q355" s="75"/>
      <c r="R355" s="75"/>
      <c r="S355" s="75"/>
      <c r="T355" s="75"/>
      <c r="U355" s="75"/>
      <c r="V355" s="77"/>
      <c r="W355" s="75"/>
      <c r="X355" s="75"/>
      <c r="Y355" s="75"/>
      <c r="Z355" s="78"/>
      <c r="AA355" s="78"/>
      <c r="AB355" s="75"/>
      <c r="AC355" s="75"/>
      <c r="AD355" s="75"/>
      <c r="AE355" s="75"/>
      <c r="AF355" s="75"/>
      <c r="AG355" s="75"/>
      <c r="AH355" s="75"/>
      <c r="AI355" s="75"/>
      <c r="AJ355" s="81"/>
      <c r="AK355" s="75"/>
      <c r="AL355" s="75"/>
    </row>
    <row r="356" spans="1:38" s="69" customFormat="1" x14ac:dyDescent="0.25">
      <c r="A356" s="75"/>
      <c r="B356" s="75"/>
      <c r="C356" s="76"/>
      <c r="D356" s="76"/>
      <c r="E356" s="75"/>
      <c r="F356" s="75"/>
      <c r="G356" s="75"/>
      <c r="H356" s="75"/>
      <c r="I356" s="75"/>
      <c r="J356" s="75"/>
      <c r="K356" s="75"/>
      <c r="L356" s="75"/>
      <c r="M356" s="75"/>
      <c r="N356" s="75"/>
      <c r="O356" s="75"/>
      <c r="P356" s="75"/>
      <c r="Q356" s="75"/>
      <c r="R356" s="75"/>
      <c r="S356" s="75"/>
      <c r="T356" s="75"/>
      <c r="U356" s="75"/>
      <c r="V356" s="77"/>
      <c r="W356" s="75"/>
      <c r="X356" s="75"/>
      <c r="Y356" s="75"/>
      <c r="Z356" s="78"/>
      <c r="AA356" s="78"/>
      <c r="AB356" s="75"/>
      <c r="AC356" s="75"/>
      <c r="AD356" s="75"/>
      <c r="AE356" s="75"/>
      <c r="AF356" s="75"/>
      <c r="AG356" s="75"/>
      <c r="AH356" s="75"/>
      <c r="AI356" s="75"/>
      <c r="AJ356" s="81"/>
      <c r="AK356" s="75"/>
      <c r="AL356" s="75"/>
    </row>
    <row r="357" spans="1:38" s="69" customFormat="1" x14ac:dyDescent="0.25">
      <c r="A357" s="75"/>
      <c r="B357" s="75"/>
      <c r="C357" s="76"/>
      <c r="D357" s="76"/>
      <c r="E357" s="75"/>
      <c r="F357" s="75"/>
      <c r="G357" s="75"/>
      <c r="H357" s="75"/>
      <c r="I357" s="75"/>
      <c r="J357" s="75"/>
      <c r="K357" s="75"/>
      <c r="L357" s="75"/>
      <c r="M357" s="75"/>
      <c r="N357" s="75"/>
      <c r="O357" s="75"/>
      <c r="P357" s="75"/>
      <c r="Q357" s="75"/>
      <c r="R357" s="75"/>
      <c r="S357" s="75"/>
      <c r="T357" s="75"/>
      <c r="U357" s="75"/>
      <c r="V357" s="77"/>
      <c r="W357" s="75"/>
      <c r="X357" s="75"/>
      <c r="Y357" s="75"/>
      <c r="Z357" s="78"/>
      <c r="AA357" s="78"/>
      <c r="AB357" s="75"/>
      <c r="AC357" s="75"/>
      <c r="AD357" s="75"/>
      <c r="AE357" s="75"/>
      <c r="AF357" s="75"/>
      <c r="AG357" s="75"/>
      <c r="AH357" s="75"/>
      <c r="AI357" s="75"/>
      <c r="AJ357" s="81"/>
      <c r="AK357" s="75"/>
      <c r="AL357" s="75"/>
    </row>
    <row r="358" spans="1:38" s="69" customFormat="1" x14ac:dyDescent="0.25">
      <c r="A358" s="75"/>
      <c r="B358" s="75"/>
      <c r="C358" s="76"/>
      <c r="D358" s="76"/>
      <c r="E358" s="75"/>
      <c r="F358" s="75"/>
      <c r="G358" s="75"/>
      <c r="H358" s="75"/>
      <c r="I358" s="75"/>
      <c r="J358" s="75"/>
      <c r="K358" s="75"/>
      <c r="L358" s="75"/>
      <c r="M358" s="75"/>
      <c r="N358" s="75"/>
      <c r="O358" s="75"/>
      <c r="P358" s="75"/>
      <c r="Q358" s="75"/>
      <c r="R358" s="75"/>
      <c r="S358" s="75"/>
      <c r="T358" s="75"/>
      <c r="U358" s="75"/>
      <c r="V358" s="77"/>
      <c r="W358" s="75"/>
      <c r="X358" s="75"/>
      <c r="Y358" s="75"/>
      <c r="Z358" s="78"/>
      <c r="AA358" s="78"/>
      <c r="AB358" s="75"/>
      <c r="AC358" s="75"/>
      <c r="AD358" s="75"/>
      <c r="AE358" s="75"/>
      <c r="AF358" s="75"/>
      <c r="AG358" s="75"/>
      <c r="AH358" s="75"/>
      <c r="AI358" s="75"/>
      <c r="AJ358" s="81"/>
      <c r="AK358" s="75"/>
      <c r="AL358" s="75"/>
    </row>
    <row r="359" spans="1:38" s="69" customFormat="1" x14ac:dyDescent="0.25">
      <c r="A359" s="75"/>
      <c r="B359" s="75"/>
      <c r="C359" s="76"/>
      <c r="D359" s="76"/>
      <c r="E359" s="75"/>
      <c r="F359" s="75"/>
      <c r="G359" s="75"/>
      <c r="H359" s="75"/>
      <c r="I359" s="75"/>
      <c r="J359" s="75"/>
      <c r="K359" s="75"/>
      <c r="L359" s="75"/>
      <c r="M359" s="75"/>
      <c r="N359" s="75"/>
      <c r="O359" s="75"/>
      <c r="P359" s="75"/>
      <c r="Q359" s="75"/>
      <c r="R359" s="75"/>
      <c r="S359" s="75"/>
      <c r="T359" s="75"/>
      <c r="U359" s="75"/>
      <c r="V359" s="77"/>
      <c r="W359" s="75"/>
      <c r="X359" s="75"/>
      <c r="Y359" s="75"/>
      <c r="Z359" s="78"/>
      <c r="AA359" s="78"/>
      <c r="AB359" s="75"/>
      <c r="AC359" s="75"/>
      <c r="AD359" s="75"/>
      <c r="AE359" s="75"/>
      <c r="AF359" s="75"/>
      <c r="AG359" s="75"/>
      <c r="AH359" s="75"/>
      <c r="AI359" s="75"/>
      <c r="AJ359" s="81"/>
      <c r="AK359" s="75"/>
      <c r="AL359" s="75"/>
    </row>
    <row r="360" spans="1:38" s="69" customFormat="1" x14ac:dyDescent="0.25">
      <c r="A360" s="75"/>
      <c r="B360" s="75"/>
      <c r="C360" s="76"/>
      <c r="D360" s="76"/>
      <c r="E360" s="75"/>
      <c r="F360" s="75"/>
      <c r="G360" s="75"/>
      <c r="H360" s="75"/>
      <c r="I360" s="75"/>
      <c r="J360" s="75"/>
      <c r="K360" s="75"/>
      <c r="L360" s="75"/>
      <c r="M360" s="75"/>
      <c r="N360" s="75"/>
      <c r="O360" s="75"/>
      <c r="P360" s="75"/>
      <c r="Q360" s="75"/>
      <c r="R360" s="75"/>
      <c r="S360" s="75"/>
      <c r="T360" s="75"/>
      <c r="U360" s="75"/>
      <c r="V360" s="77"/>
      <c r="W360" s="75"/>
      <c r="X360" s="75"/>
      <c r="Y360" s="75"/>
      <c r="Z360" s="78"/>
      <c r="AA360" s="78"/>
      <c r="AB360" s="75"/>
      <c r="AC360" s="75"/>
      <c r="AD360" s="75"/>
      <c r="AE360" s="75"/>
      <c r="AF360" s="75"/>
      <c r="AG360" s="75"/>
      <c r="AH360" s="75"/>
      <c r="AI360" s="75"/>
      <c r="AJ360" s="81"/>
      <c r="AK360" s="75"/>
      <c r="AL360" s="75"/>
    </row>
    <row r="361" spans="1:38" s="69" customFormat="1" x14ac:dyDescent="0.25">
      <c r="A361" s="75"/>
      <c r="B361" s="75"/>
      <c r="C361" s="76"/>
      <c r="D361" s="76"/>
      <c r="E361" s="75"/>
      <c r="F361" s="75"/>
      <c r="G361" s="75"/>
      <c r="H361" s="75"/>
      <c r="I361" s="75"/>
      <c r="J361" s="75"/>
      <c r="K361" s="75"/>
      <c r="L361" s="75"/>
      <c r="M361" s="75"/>
      <c r="N361" s="75"/>
      <c r="O361" s="75"/>
      <c r="P361" s="75"/>
      <c r="Q361" s="75"/>
      <c r="R361" s="75"/>
      <c r="S361" s="75"/>
      <c r="T361" s="75"/>
      <c r="U361" s="75"/>
      <c r="V361" s="77"/>
      <c r="W361" s="75"/>
      <c r="X361" s="75"/>
      <c r="Y361" s="75"/>
      <c r="Z361" s="78"/>
      <c r="AA361" s="78"/>
      <c r="AB361" s="75"/>
      <c r="AC361" s="75"/>
      <c r="AD361" s="75"/>
      <c r="AE361" s="75"/>
      <c r="AF361" s="75"/>
      <c r="AG361" s="75"/>
      <c r="AH361" s="75"/>
      <c r="AI361" s="75"/>
      <c r="AJ361" s="81"/>
      <c r="AK361" s="75"/>
      <c r="AL361" s="75"/>
    </row>
    <row r="362" spans="1:38" s="69" customFormat="1" x14ac:dyDescent="0.25">
      <c r="A362" s="75"/>
      <c r="B362" s="75"/>
      <c r="C362" s="76"/>
      <c r="D362" s="76"/>
      <c r="E362" s="75"/>
      <c r="F362" s="75"/>
      <c r="G362" s="75"/>
      <c r="H362" s="75"/>
      <c r="I362" s="75"/>
      <c r="J362" s="75"/>
      <c r="K362" s="75"/>
      <c r="L362" s="75"/>
      <c r="M362" s="75"/>
      <c r="N362" s="75"/>
      <c r="O362" s="75"/>
      <c r="P362" s="75"/>
      <c r="Q362" s="75"/>
      <c r="R362" s="75"/>
      <c r="S362" s="75"/>
      <c r="T362" s="75"/>
      <c r="U362" s="75"/>
      <c r="V362" s="77"/>
      <c r="W362" s="75"/>
      <c r="X362" s="75"/>
      <c r="Y362" s="75"/>
      <c r="Z362" s="78"/>
      <c r="AA362" s="78"/>
      <c r="AB362" s="75"/>
      <c r="AC362" s="75"/>
      <c r="AD362" s="75"/>
      <c r="AE362" s="75"/>
      <c r="AF362" s="75"/>
      <c r="AG362" s="75"/>
      <c r="AH362" s="75"/>
      <c r="AI362" s="75"/>
      <c r="AJ362" s="81"/>
      <c r="AK362" s="75"/>
      <c r="AL362" s="75"/>
    </row>
    <row r="363" spans="1:38" s="69" customFormat="1" x14ac:dyDescent="0.25">
      <c r="A363" s="75"/>
      <c r="B363" s="75"/>
      <c r="C363" s="76"/>
      <c r="D363" s="76"/>
      <c r="E363" s="75"/>
      <c r="F363" s="75"/>
      <c r="G363" s="75"/>
      <c r="H363" s="75"/>
      <c r="I363" s="75"/>
      <c r="J363" s="75"/>
      <c r="K363" s="75"/>
      <c r="L363" s="75"/>
      <c r="M363" s="75"/>
      <c r="N363" s="75"/>
      <c r="O363" s="75"/>
      <c r="P363" s="75"/>
      <c r="Q363" s="75"/>
      <c r="R363" s="75"/>
      <c r="S363" s="75"/>
      <c r="T363" s="75"/>
      <c r="U363" s="75"/>
      <c r="V363" s="77"/>
      <c r="W363" s="75"/>
      <c r="X363" s="75"/>
      <c r="Y363" s="75"/>
      <c r="Z363" s="78"/>
      <c r="AA363" s="78"/>
      <c r="AB363" s="75"/>
      <c r="AC363" s="75"/>
      <c r="AD363" s="75"/>
      <c r="AE363" s="75"/>
      <c r="AF363" s="75"/>
      <c r="AG363" s="75"/>
      <c r="AH363" s="75"/>
      <c r="AI363" s="75"/>
      <c r="AJ363" s="81"/>
      <c r="AK363" s="75"/>
      <c r="AL363" s="75"/>
    </row>
    <row r="364" spans="1:38" s="69" customFormat="1" x14ac:dyDescent="0.25">
      <c r="A364" s="75"/>
      <c r="B364" s="75"/>
      <c r="C364" s="76"/>
      <c r="D364" s="76"/>
      <c r="E364" s="75"/>
      <c r="F364" s="75"/>
      <c r="G364" s="75"/>
      <c r="H364" s="75"/>
      <c r="I364" s="75"/>
      <c r="J364" s="75"/>
      <c r="K364" s="75"/>
      <c r="L364" s="75"/>
      <c r="M364" s="75"/>
      <c r="N364" s="75"/>
      <c r="O364" s="75"/>
      <c r="P364" s="75"/>
      <c r="Q364" s="75"/>
      <c r="R364" s="75"/>
      <c r="S364" s="75"/>
      <c r="T364" s="75"/>
      <c r="U364" s="75"/>
      <c r="V364" s="77"/>
      <c r="W364" s="75"/>
      <c r="X364" s="75"/>
      <c r="Y364" s="75"/>
      <c r="Z364" s="78"/>
      <c r="AA364" s="78"/>
      <c r="AB364" s="75"/>
      <c r="AC364" s="75"/>
      <c r="AD364" s="75"/>
      <c r="AE364" s="75"/>
      <c r="AF364" s="75"/>
      <c r="AG364" s="75"/>
      <c r="AH364" s="75"/>
      <c r="AI364" s="75"/>
      <c r="AJ364" s="81"/>
      <c r="AK364" s="75"/>
      <c r="AL364" s="75"/>
    </row>
    <row r="365" spans="1:38" s="69" customFormat="1" x14ac:dyDescent="0.25">
      <c r="A365" s="75"/>
      <c r="B365" s="75"/>
      <c r="C365" s="76"/>
      <c r="D365" s="76"/>
      <c r="E365" s="75"/>
      <c r="F365" s="75"/>
      <c r="G365" s="75"/>
      <c r="H365" s="75"/>
      <c r="I365" s="75"/>
      <c r="J365" s="75"/>
      <c r="K365" s="75"/>
      <c r="L365" s="75"/>
      <c r="M365" s="75"/>
      <c r="N365" s="75"/>
      <c r="O365" s="75"/>
      <c r="P365" s="75"/>
      <c r="Q365" s="75"/>
      <c r="R365" s="75"/>
      <c r="S365" s="75"/>
      <c r="T365" s="75"/>
      <c r="U365" s="75"/>
      <c r="V365" s="77"/>
      <c r="W365" s="75"/>
      <c r="X365" s="75"/>
      <c r="Y365" s="75"/>
      <c r="Z365" s="78"/>
      <c r="AA365" s="78"/>
      <c r="AB365" s="75"/>
      <c r="AC365" s="75"/>
      <c r="AD365" s="75"/>
      <c r="AE365" s="75"/>
      <c r="AF365" s="75"/>
      <c r="AG365" s="75"/>
      <c r="AH365" s="75"/>
      <c r="AI365" s="75"/>
      <c r="AJ365" s="81"/>
      <c r="AK365" s="75"/>
      <c r="AL365" s="75"/>
    </row>
    <row r="366" spans="1:38" s="69" customFormat="1" x14ac:dyDescent="0.25">
      <c r="A366" s="75"/>
      <c r="B366" s="75"/>
      <c r="C366" s="76"/>
      <c r="D366" s="76"/>
      <c r="E366" s="75"/>
      <c r="F366" s="75"/>
      <c r="G366" s="75"/>
      <c r="H366" s="75"/>
      <c r="I366" s="75"/>
      <c r="J366" s="75"/>
      <c r="K366" s="75"/>
      <c r="L366" s="75"/>
      <c r="M366" s="75"/>
      <c r="N366" s="75"/>
      <c r="O366" s="75"/>
      <c r="P366" s="75"/>
      <c r="Q366" s="75"/>
      <c r="R366" s="75"/>
      <c r="S366" s="75"/>
      <c r="T366" s="75"/>
      <c r="U366" s="75"/>
      <c r="V366" s="77"/>
      <c r="W366" s="75"/>
      <c r="X366" s="75"/>
      <c r="Y366" s="75"/>
      <c r="Z366" s="78"/>
      <c r="AA366" s="78"/>
      <c r="AB366" s="75"/>
      <c r="AJ366" s="72"/>
    </row>
    <row r="367" spans="1:38" s="69" customFormat="1" x14ac:dyDescent="0.25">
      <c r="A367" s="75"/>
      <c r="B367" s="75"/>
      <c r="C367" s="76"/>
      <c r="D367" s="76"/>
      <c r="E367" s="75"/>
      <c r="F367" s="75"/>
      <c r="G367" s="75"/>
      <c r="H367" s="75"/>
      <c r="I367" s="75"/>
      <c r="J367" s="75"/>
      <c r="K367" s="75"/>
      <c r="L367" s="75"/>
      <c r="M367" s="75"/>
      <c r="N367" s="75"/>
      <c r="O367" s="75"/>
      <c r="P367" s="75"/>
      <c r="Q367" s="75"/>
      <c r="R367" s="75"/>
      <c r="S367" s="75"/>
      <c r="T367" s="75"/>
      <c r="U367" s="75"/>
      <c r="V367" s="77"/>
      <c r="W367" s="75"/>
      <c r="X367" s="75"/>
      <c r="Y367" s="75"/>
      <c r="Z367" s="78"/>
      <c r="AA367" s="78"/>
      <c r="AB367" s="75"/>
      <c r="AJ367" s="72"/>
    </row>
    <row r="368" spans="1:38" s="69" customFormat="1" x14ac:dyDescent="0.25">
      <c r="A368" s="75"/>
      <c r="B368" s="75"/>
      <c r="C368" s="76"/>
      <c r="D368" s="76"/>
      <c r="E368" s="75"/>
      <c r="F368" s="75"/>
      <c r="G368" s="75"/>
      <c r="H368" s="75"/>
      <c r="I368" s="75"/>
      <c r="J368" s="75"/>
      <c r="K368" s="75"/>
      <c r="L368" s="75"/>
      <c r="M368" s="75"/>
      <c r="N368" s="75"/>
      <c r="O368" s="75"/>
      <c r="P368" s="75"/>
      <c r="Q368" s="75"/>
      <c r="R368" s="75"/>
      <c r="S368" s="75"/>
      <c r="T368" s="75"/>
      <c r="U368" s="75"/>
      <c r="V368" s="77"/>
      <c r="W368" s="75"/>
      <c r="X368" s="75"/>
      <c r="Y368" s="75"/>
      <c r="Z368" s="78"/>
      <c r="AA368" s="78"/>
      <c r="AB368" s="75"/>
      <c r="AJ368" s="72"/>
    </row>
    <row r="369" spans="1:36" s="69" customFormat="1" x14ac:dyDescent="0.25">
      <c r="A369" s="75"/>
      <c r="B369" s="75"/>
      <c r="C369" s="76"/>
      <c r="D369" s="76"/>
      <c r="E369" s="75"/>
      <c r="F369" s="75"/>
      <c r="G369" s="75"/>
      <c r="H369" s="75"/>
      <c r="I369" s="75"/>
      <c r="J369" s="75"/>
      <c r="K369" s="75"/>
      <c r="L369" s="75"/>
      <c r="M369" s="75"/>
      <c r="N369" s="75"/>
      <c r="O369" s="75"/>
      <c r="P369" s="75"/>
      <c r="Q369" s="75"/>
      <c r="R369" s="75"/>
      <c r="S369" s="75"/>
      <c r="T369" s="75"/>
      <c r="U369" s="75"/>
      <c r="V369" s="77"/>
      <c r="W369" s="75"/>
      <c r="X369" s="75"/>
      <c r="Y369" s="75"/>
      <c r="Z369" s="78"/>
      <c r="AA369" s="78"/>
      <c r="AB369" s="75"/>
      <c r="AJ369" s="72"/>
    </row>
    <row r="370" spans="1:36" s="69" customFormat="1" x14ac:dyDescent="0.25">
      <c r="A370" s="75"/>
      <c r="B370" s="75"/>
      <c r="C370" s="76"/>
      <c r="D370" s="76"/>
      <c r="E370" s="75"/>
      <c r="F370" s="75"/>
      <c r="G370" s="75"/>
      <c r="H370" s="75"/>
      <c r="I370" s="75"/>
      <c r="J370" s="75"/>
      <c r="K370" s="75"/>
      <c r="L370" s="75"/>
      <c r="M370" s="75"/>
      <c r="N370" s="75"/>
      <c r="O370" s="75"/>
      <c r="P370" s="75"/>
      <c r="Q370" s="75"/>
      <c r="R370" s="75"/>
      <c r="S370" s="75"/>
      <c r="T370" s="75"/>
      <c r="U370" s="75"/>
      <c r="V370" s="77"/>
      <c r="W370" s="75"/>
      <c r="X370" s="75"/>
      <c r="Y370" s="75"/>
      <c r="Z370" s="78"/>
      <c r="AA370" s="78"/>
      <c r="AB370" s="75"/>
      <c r="AJ370" s="72"/>
    </row>
    <row r="371" spans="1:36" s="69" customFormat="1" x14ac:dyDescent="0.25">
      <c r="A371" s="75"/>
      <c r="B371" s="75"/>
      <c r="C371" s="76"/>
      <c r="D371" s="76"/>
      <c r="E371" s="75"/>
      <c r="F371" s="75"/>
      <c r="G371" s="75"/>
      <c r="H371" s="75"/>
      <c r="I371" s="75"/>
      <c r="J371" s="75"/>
      <c r="K371" s="75"/>
      <c r="L371" s="75"/>
      <c r="M371" s="75"/>
      <c r="N371" s="75"/>
      <c r="O371" s="75"/>
      <c r="P371" s="75"/>
      <c r="Q371" s="75"/>
      <c r="R371" s="75"/>
      <c r="S371" s="75"/>
      <c r="T371" s="75"/>
      <c r="U371" s="75"/>
      <c r="V371" s="77"/>
      <c r="W371" s="75"/>
      <c r="X371" s="75"/>
      <c r="Y371" s="75"/>
      <c r="Z371" s="78"/>
      <c r="AA371" s="78"/>
      <c r="AB371" s="75"/>
      <c r="AJ371" s="72"/>
    </row>
    <row r="372" spans="1:36" s="69" customFormat="1" x14ac:dyDescent="0.25">
      <c r="A372" s="75"/>
      <c r="B372" s="75"/>
      <c r="C372" s="76"/>
      <c r="D372" s="76"/>
      <c r="E372" s="75"/>
      <c r="F372" s="75"/>
      <c r="G372" s="75"/>
      <c r="H372" s="75"/>
      <c r="I372" s="75"/>
      <c r="J372" s="75"/>
      <c r="K372" s="75"/>
      <c r="L372" s="75"/>
      <c r="M372" s="75"/>
      <c r="N372" s="75"/>
      <c r="O372" s="75"/>
      <c r="P372" s="75"/>
      <c r="Q372" s="75"/>
      <c r="R372" s="75"/>
      <c r="S372" s="75"/>
      <c r="T372" s="75"/>
      <c r="U372" s="75"/>
      <c r="V372" s="77"/>
      <c r="W372" s="75"/>
      <c r="X372" s="75"/>
      <c r="Y372" s="75"/>
      <c r="Z372" s="78"/>
      <c r="AA372" s="78"/>
      <c r="AB372" s="75"/>
      <c r="AJ372" s="72"/>
    </row>
    <row r="373" spans="1:36" s="69" customFormat="1" x14ac:dyDescent="0.25">
      <c r="A373" s="75"/>
      <c r="B373" s="75"/>
      <c r="C373" s="76"/>
      <c r="D373" s="76"/>
      <c r="E373" s="75"/>
      <c r="F373" s="75"/>
      <c r="G373" s="75"/>
      <c r="H373" s="75"/>
      <c r="I373" s="75"/>
      <c r="J373" s="75"/>
      <c r="K373" s="75"/>
      <c r="L373" s="75"/>
      <c r="M373" s="75"/>
      <c r="N373" s="75"/>
      <c r="O373" s="75"/>
      <c r="P373" s="75"/>
      <c r="Q373" s="75"/>
      <c r="R373" s="75"/>
      <c r="S373" s="75"/>
      <c r="T373" s="75"/>
      <c r="U373" s="75"/>
      <c r="V373" s="77"/>
      <c r="W373" s="75"/>
      <c r="X373" s="75"/>
      <c r="Y373" s="75"/>
      <c r="Z373" s="78"/>
      <c r="AA373" s="78"/>
      <c r="AB373" s="75"/>
      <c r="AJ373" s="72"/>
    </row>
    <row r="374" spans="1:36" s="69" customFormat="1" x14ac:dyDescent="0.25">
      <c r="A374" s="75"/>
      <c r="B374" s="75"/>
      <c r="C374" s="76"/>
      <c r="D374" s="76"/>
      <c r="E374" s="75"/>
      <c r="F374" s="75"/>
      <c r="G374" s="75"/>
      <c r="H374" s="75"/>
      <c r="I374" s="75"/>
      <c r="J374" s="75"/>
      <c r="K374" s="75"/>
      <c r="L374" s="75"/>
      <c r="M374" s="75"/>
      <c r="N374" s="75"/>
      <c r="O374" s="75"/>
      <c r="P374" s="75"/>
      <c r="Q374" s="75"/>
      <c r="R374" s="75"/>
      <c r="S374" s="75"/>
      <c r="T374" s="75"/>
      <c r="U374" s="75"/>
      <c r="V374" s="77"/>
      <c r="W374" s="75"/>
      <c r="X374" s="75"/>
      <c r="Y374" s="75"/>
      <c r="Z374" s="78"/>
      <c r="AA374" s="78"/>
      <c r="AB374" s="75"/>
      <c r="AJ374" s="72"/>
    </row>
    <row r="375" spans="1:36" s="69" customFormat="1" x14ac:dyDescent="0.25">
      <c r="A375" s="75"/>
      <c r="B375" s="75"/>
      <c r="C375" s="76"/>
      <c r="D375" s="76"/>
      <c r="E375" s="75"/>
      <c r="F375" s="75"/>
      <c r="G375" s="75"/>
      <c r="H375" s="75"/>
      <c r="I375" s="75"/>
      <c r="J375" s="75"/>
      <c r="K375" s="75"/>
      <c r="L375" s="75"/>
      <c r="M375" s="75"/>
      <c r="N375" s="75"/>
      <c r="O375" s="75"/>
      <c r="P375" s="75"/>
      <c r="Q375" s="75"/>
      <c r="R375" s="75"/>
      <c r="S375" s="75"/>
      <c r="T375" s="75"/>
      <c r="U375" s="75"/>
      <c r="V375" s="77"/>
      <c r="W375" s="75"/>
      <c r="X375" s="75"/>
      <c r="Y375" s="75"/>
      <c r="Z375" s="78"/>
      <c r="AA375" s="78"/>
      <c r="AB375" s="75"/>
      <c r="AJ375" s="72"/>
    </row>
    <row r="376" spans="1:36" s="69" customFormat="1" x14ac:dyDescent="0.25">
      <c r="A376" s="75"/>
      <c r="B376" s="75"/>
      <c r="C376" s="76"/>
      <c r="D376" s="76"/>
      <c r="E376" s="75"/>
      <c r="F376" s="75"/>
      <c r="G376" s="75"/>
      <c r="H376" s="75"/>
      <c r="I376" s="75"/>
      <c r="J376" s="75"/>
      <c r="K376" s="75"/>
      <c r="L376" s="75"/>
      <c r="M376" s="75"/>
      <c r="N376" s="75"/>
      <c r="O376" s="75"/>
      <c r="P376" s="75"/>
      <c r="Q376" s="75"/>
      <c r="R376" s="75"/>
      <c r="S376" s="75"/>
      <c r="T376" s="75"/>
      <c r="U376" s="75"/>
      <c r="V376" s="77"/>
      <c r="W376" s="75"/>
      <c r="X376" s="75"/>
      <c r="Y376" s="75"/>
      <c r="Z376" s="78"/>
      <c r="AA376" s="78"/>
      <c r="AB376" s="75"/>
      <c r="AJ376" s="72"/>
    </row>
    <row r="377" spans="1:36" s="69" customFormat="1" x14ac:dyDescent="0.25">
      <c r="A377" s="75"/>
      <c r="B377" s="75"/>
      <c r="C377" s="76"/>
      <c r="D377" s="76"/>
      <c r="E377" s="75"/>
      <c r="F377" s="75"/>
      <c r="G377" s="75"/>
      <c r="H377" s="75"/>
      <c r="I377" s="75"/>
      <c r="J377" s="75"/>
      <c r="K377" s="75"/>
      <c r="L377" s="75"/>
      <c r="M377" s="75"/>
      <c r="N377" s="75"/>
      <c r="O377" s="75"/>
      <c r="P377" s="75"/>
      <c r="Q377" s="75"/>
      <c r="R377" s="75"/>
      <c r="S377" s="75"/>
      <c r="T377" s="75"/>
      <c r="U377" s="75"/>
      <c r="V377" s="77"/>
      <c r="W377" s="75"/>
      <c r="X377" s="75"/>
      <c r="Y377" s="75"/>
      <c r="Z377" s="78"/>
      <c r="AA377" s="78"/>
      <c r="AB377" s="75"/>
      <c r="AJ377" s="72"/>
    </row>
    <row r="378" spans="1:36" s="69" customFormat="1" x14ac:dyDescent="0.25">
      <c r="A378" s="75"/>
      <c r="B378" s="75"/>
      <c r="C378" s="76"/>
      <c r="D378" s="76"/>
      <c r="E378" s="75"/>
      <c r="F378" s="75"/>
      <c r="G378" s="75"/>
      <c r="H378" s="75"/>
      <c r="I378" s="75"/>
      <c r="J378" s="75"/>
      <c r="K378" s="75"/>
      <c r="L378" s="75"/>
      <c r="M378" s="75"/>
      <c r="N378" s="75"/>
      <c r="O378" s="75"/>
      <c r="P378" s="75"/>
      <c r="Q378" s="75"/>
      <c r="R378" s="75"/>
      <c r="S378" s="75"/>
      <c r="T378" s="75"/>
      <c r="U378" s="75"/>
      <c r="V378" s="77"/>
      <c r="W378" s="75"/>
      <c r="X378" s="75"/>
      <c r="Y378" s="75"/>
      <c r="Z378" s="78"/>
      <c r="AA378" s="78"/>
      <c r="AB378" s="75"/>
      <c r="AJ378" s="72"/>
    </row>
    <row r="379" spans="1:36" s="69" customFormat="1" x14ac:dyDescent="0.25">
      <c r="A379" s="75"/>
      <c r="B379" s="75"/>
      <c r="C379" s="76"/>
      <c r="D379" s="76"/>
      <c r="E379" s="75"/>
      <c r="F379" s="75"/>
      <c r="G379" s="75"/>
      <c r="H379" s="75"/>
      <c r="I379" s="75"/>
      <c r="J379" s="75"/>
      <c r="K379" s="75"/>
      <c r="L379" s="75"/>
      <c r="M379" s="75"/>
      <c r="N379" s="75"/>
      <c r="O379" s="75"/>
      <c r="P379" s="75"/>
      <c r="Q379" s="75"/>
      <c r="R379" s="75"/>
      <c r="S379" s="75"/>
      <c r="T379" s="75"/>
      <c r="U379" s="75"/>
      <c r="V379" s="77"/>
      <c r="W379" s="75"/>
      <c r="X379" s="75"/>
      <c r="Y379" s="75"/>
      <c r="Z379" s="78"/>
      <c r="AA379" s="78"/>
      <c r="AB379" s="75"/>
      <c r="AJ379" s="72"/>
    </row>
    <row r="380" spans="1:36" s="69" customFormat="1" x14ac:dyDescent="0.25">
      <c r="A380" s="75"/>
      <c r="B380" s="75"/>
      <c r="C380" s="76"/>
      <c r="D380" s="76"/>
      <c r="E380" s="75"/>
      <c r="F380" s="75"/>
      <c r="G380" s="75"/>
      <c r="H380" s="75"/>
      <c r="I380" s="75"/>
      <c r="J380" s="75"/>
      <c r="K380" s="75"/>
      <c r="L380" s="75"/>
      <c r="M380" s="75"/>
      <c r="N380" s="75"/>
      <c r="O380" s="75"/>
      <c r="P380" s="75"/>
      <c r="Q380" s="75"/>
      <c r="R380" s="75"/>
      <c r="S380" s="75"/>
      <c r="T380" s="75"/>
      <c r="U380" s="75"/>
      <c r="V380" s="77"/>
      <c r="W380" s="75"/>
      <c r="X380" s="75"/>
      <c r="Y380" s="75"/>
      <c r="Z380" s="78"/>
      <c r="AA380" s="78"/>
      <c r="AB380" s="75"/>
      <c r="AJ380" s="72"/>
    </row>
    <row r="381" spans="1:36" s="69" customFormat="1" x14ac:dyDescent="0.25">
      <c r="A381" s="75"/>
      <c r="B381" s="75"/>
      <c r="C381" s="76"/>
      <c r="D381" s="76"/>
      <c r="E381" s="75"/>
      <c r="F381" s="75"/>
      <c r="G381" s="75"/>
      <c r="H381" s="75"/>
      <c r="I381" s="75"/>
      <c r="J381" s="75"/>
      <c r="K381" s="75"/>
      <c r="L381" s="75"/>
      <c r="M381" s="75"/>
      <c r="N381" s="75"/>
      <c r="O381" s="75"/>
      <c r="P381" s="75"/>
      <c r="Q381" s="75"/>
      <c r="R381" s="75"/>
      <c r="S381" s="75"/>
      <c r="T381" s="75"/>
      <c r="U381" s="75"/>
      <c r="V381" s="77"/>
      <c r="W381" s="75"/>
      <c r="X381" s="75"/>
      <c r="Y381" s="75"/>
      <c r="Z381" s="78"/>
      <c r="AA381" s="78"/>
      <c r="AB381" s="75"/>
      <c r="AJ381" s="72"/>
    </row>
    <row r="382" spans="1:36" s="69" customFormat="1" x14ac:dyDescent="0.25">
      <c r="A382" s="75"/>
      <c r="B382" s="75"/>
      <c r="C382" s="76"/>
      <c r="D382" s="76"/>
      <c r="E382" s="75"/>
      <c r="F382" s="75"/>
      <c r="G382" s="75"/>
      <c r="H382" s="75"/>
      <c r="I382" s="75"/>
      <c r="J382" s="75"/>
      <c r="K382" s="75"/>
      <c r="L382" s="75"/>
      <c r="M382" s="75"/>
      <c r="N382" s="75"/>
      <c r="O382" s="75"/>
      <c r="P382" s="75"/>
      <c r="Q382" s="75"/>
      <c r="R382" s="75"/>
      <c r="S382" s="75"/>
      <c r="T382" s="75"/>
      <c r="U382" s="75"/>
      <c r="V382" s="77"/>
      <c r="W382" s="75"/>
      <c r="X382" s="75"/>
      <c r="Y382" s="75"/>
      <c r="Z382" s="78"/>
      <c r="AA382" s="78"/>
      <c r="AB382" s="75"/>
      <c r="AJ382" s="72"/>
    </row>
    <row r="383" spans="1:36" s="69" customFormat="1" x14ac:dyDescent="0.25">
      <c r="A383" s="75"/>
      <c r="B383" s="75"/>
      <c r="C383" s="76"/>
      <c r="D383" s="76"/>
      <c r="E383" s="75"/>
      <c r="F383" s="75"/>
      <c r="G383" s="75"/>
      <c r="H383" s="75"/>
      <c r="I383" s="75"/>
      <c r="J383" s="75"/>
      <c r="K383" s="75"/>
      <c r="L383" s="75"/>
      <c r="M383" s="75"/>
      <c r="N383" s="75"/>
      <c r="O383" s="75"/>
      <c r="P383" s="75"/>
      <c r="Q383" s="75"/>
      <c r="R383" s="75"/>
      <c r="S383" s="75"/>
      <c r="T383" s="75"/>
      <c r="U383" s="75"/>
      <c r="V383" s="77"/>
      <c r="W383" s="75"/>
      <c r="X383" s="75"/>
      <c r="Y383" s="75"/>
      <c r="Z383" s="78"/>
      <c r="AA383" s="78"/>
      <c r="AB383" s="75"/>
      <c r="AJ383" s="72"/>
    </row>
    <row r="384" spans="1:36" s="69" customFormat="1" x14ac:dyDescent="0.25">
      <c r="A384" s="75"/>
      <c r="B384" s="75"/>
      <c r="C384" s="76"/>
      <c r="D384" s="76"/>
      <c r="E384" s="75"/>
      <c r="F384" s="75"/>
      <c r="G384" s="75"/>
      <c r="H384" s="75"/>
      <c r="I384" s="75"/>
      <c r="J384" s="75"/>
      <c r="K384" s="75"/>
      <c r="L384" s="75"/>
      <c r="M384" s="75"/>
      <c r="N384" s="75"/>
      <c r="O384" s="75"/>
      <c r="P384" s="75"/>
      <c r="Q384" s="75"/>
      <c r="R384" s="75"/>
      <c r="S384" s="75"/>
      <c r="T384" s="75"/>
      <c r="U384" s="75"/>
      <c r="V384" s="77"/>
      <c r="W384" s="75"/>
      <c r="X384" s="75"/>
      <c r="Y384" s="75"/>
      <c r="Z384" s="78"/>
      <c r="AA384" s="78"/>
      <c r="AB384" s="75"/>
      <c r="AJ384" s="72"/>
    </row>
    <row r="385" spans="1:36" s="69" customFormat="1" x14ac:dyDescent="0.25">
      <c r="A385" s="75"/>
      <c r="B385" s="75"/>
      <c r="C385" s="76"/>
      <c r="D385" s="76"/>
      <c r="E385" s="75"/>
      <c r="F385" s="75"/>
      <c r="G385" s="75"/>
      <c r="H385" s="75"/>
      <c r="I385" s="75"/>
      <c r="J385" s="75"/>
      <c r="K385" s="75"/>
      <c r="L385" s="75"/>
      <c r="M385" s="75"/>
      <c r="N385" s="75"/>
      <c r="O385" s="75"/>
      <c r="P385" s="75"/>
      <c r="Q385" s="75"/>
      <c r="R385" s="75"/>
      <c r="S385" s="75"/>
      <c r="T385" s="75"/>
      <c r="U385" s="75"/>
      <c r="V385" s="77"/>
      <c r="W385" s="75"/>
      <c r="X385" s="75"/>
      <c r="Y385" s="75"/>
      <c r="Z385" s="78"/>
      <c r="AA385" s="78"/>
      <c r="AB385" s="75"/>
      <c r="AJ385" s="72"/>
    </row>
    <row r="386" spans="1:36" s="69" customFormat="1" x14ac:dyDescent="0.25">
      <c r="A386" s="75"/>
      <c r="B386" s="75"/>
      <c r="C386" s="76"/>
      <c r="D386" s="76"/>
      <c r="E386" s="75"/>
      <c r="F386" s="75"/>
      <c r="G386" s="75"/>
      <c r="H386" s="75"/>
      <c r="I386" s="75"/>
      <c r="J386" s="75"/>
      <c r="K386" s="75"/>
      <c r="L386" s="75"/>
      <c r="M386" s="75"/>
      <c r="N386" s="75"/>
      <c r="O386" s="75"/>
      <c r="P386" s="75"/>
      <c r="Q386" s="75"/>
      <c r="R386" s="75"/>
      <c r="S386" s="75"/>
      <c r="T386" s="75"/>
      <c r="U386" s="75"/>
      <c r="V386" s="77"/>
      <c r="W386" s="75"/>
      <c r="X386" s="75"/>
      <c r="Y386" s="75"/>
      <c r="Z386" s="78"/>
      <c r="AA386" s="78"/>
      <c r="AB386" s="75"/>
      <c r="AJ386" s="72"/>
    </row>
    <row r="387" spans="1:36" s="69" customFormat="1" x14ac:dyDescent="0.25">
      <c r="A387" s="75"/>
      <c r="B387" s="75"/>
      <c r="C387" s="76"/>
      <c r="D387" s="76"/>
      <c r="E387" s="75"/>
      <c r="F387" s="75"/>
      <c r="G387" s="75"/>
      <c r="H387" s="75"/>
      <c r="I387" s="75"/>
      <c r="J387" s="75"/>
      <c r="K387" s="75"/>
      <c r="L387" s="75"/>
      <c r="M387" s="75"/>
      <c r="N387" s="75"/>
      <c r="O387" s="75"/>
      <c r="P387" s="75"/>
      <c r="Q387" s="75"/>
      <c r="R387" s="75"/>
      <c r="S387" s="75"/>
      <c r="T387" s="75"/>
      <c r="U387" s="75"/>
      <c r="V387" s="77"/>
      <c r="W387" s="75"/>
      <c r="X387" s="75"/>
      <c r="Y387" s="75"/>
      <c r="Z387" s="78"/>
      <c r="AA387" s="78"/>
      <c r="AB387" s="75"/>
      <c r="AJ387" s="72"/>
    </row>
    <row r="388" spans="1:36" s="69" customFormat="1" x14ac:dyDescent="0.25">
      <c r="A388" s="75"/>
      <c r="B388" s="75"/>
      <c r="C388" s="76"/>
      <c r="D388" s="76"/>
      <c r="E388" s="75"/>
      <c r="F388" s="75"/>
      <c r="G388" s="75"/>
      <c r="H388" s="75"/>
      <c r="I388" s="75"/>
      <c r="J388" s="75"/>
      <c r="K388" s="75"/>
      <c r="L388" s="75"/>
      <c r="M388" s="75"/>
      <c r="N388" s="75"/>
      <c r="O388" s="75"/>
      <c r="P388" s="75"/>
      <c r="Q388" s="75"/>
      <c r="R388" s="75"/>
      <c r="S388" s="75"/>
      <c r="T388" s="75"/>
      <c r="U388" s="75"/>
      <c r="V388" s="77"/>
      <c r="W388" s="75"/>
      <c r="X388" s="75"/>
      <c r="Y388" s="75"/>
      <c r="Z388" s="78"/>
      <c r="AA388" s="78"/>
      <c r="AB388" s="75"/>
      <c r="AJ388" s="72"/>
    </row>
    <row r="389" spans="1:36" s="69" customFormat="1" x14ac:dyDescent="0.25">
      <c r="A389" s="75"/>
      <c r="B389" s="75"/>
      <c r="C389" s="76"/>
      <c r="D389" s="76"/>
      <c r="E389" s="75"/>
      <c r="F389" s="75"/>
      <c r="G389" s="75"/>
      <c r="H389" s="75"/>
      <c r="I389" s="75"/>
      <c r="J389" s="75"/>
      <c r="K389" s="75"/>
      <c r="L389" s="75"/>
      <c r="M389" s="75"/>
      <c r="N389" s="75"/>
      <c r="O389" s="75"/>
      <c r="P389" s="75"/>
      <c r="Q389" s="75"/>
      <c r="R389" s="75"/>
      <c r="S389" s="75"/>
      <c r="T389" s="75"/>
      <c r="U389" s="75"/>
      <c r="V389" s="77"/>
      <c r="W389" s="75"/>
      <c r="X389" s="75"/>
      <c r="Y389" s="75"/>
      <c r="Z389" s="78"/>
      <c r="AA389" s="78"/>
      <c r="AB389" s="75"/>
      <c r="AJ389" s="72"/>
    </row>
    <row r="390" spans="1:36" s="69" customFormat="1" x14ac:dyDescent="0.25">
      <c r="A390" s="75"/>
      <c r="B390" s="75"/>
      <c r="C390" s="76"/>
      <c r="D390" s="76"/>
      <c r="E390" s="75"/>
      <c r="F390" s="75"/>
      <c r="G390" s="75"/>
      <c r="H390" s="75"/>
      <c r="I390" s="75"/>
      <c r="J390" s="75"/>
      <c r="K390" s="75"/>
      <c r="L390" s="75"/>
      <c r="M390" s="75"/>
      <c r="N390" s="75"/>
      <c r="O390" s="75"/>
      <c r="P390" s="75"/>
      <c r="Q390" s="75"/>
      <c r="R390" s="75"/>
      <c r="S390" s="75"/>
      <c r="T390" s="75"/>
      <c r="U390" s="75"/>
      <c r="V390" s="77"/>
      <c r="W390" s="75"/>
      <c r="X390" s="75"/>
      <c r="Y390" s="75"/>
      <c r="Z390" s="78"/>
      <c r="AA390" s="78"/>
      <c r="AB390" s="75"/>
      <c r="AJ390" s="72"/>
    </row>
    <row r="391" spans="1:36" s="69" customFormat="1" x14ac:dyDescent="0.25">
      <c r="A391" s="75"/>
      <c r="B391" s="75"/>
      <c r="C391" s="76"/>
      <c r="D391" s="76"/>
      <c r="E391" s="75"/>
      <c r="F391" s="75"/>
      <c r="G391" s="75"/>
      <c r="H391" s="75"/>
      <c r="I391" s="75"/>
      <c r="J391" s="75"/>
      <c r="K391" s="75"/>
      <c r="L391" s="75"/>
      <c r="M391" s="75"/>
      <c r="N391" s="75"/>
      <c r="O391" s="75"/>
      <c r="P391" s="75"/>
      <c r="Q391" s="75"/>
      <c r="R391" s="75"/>
      <c r="S391" s="75"/>
      <c r="T391" s="75"/>
      <c r="U391" s="75"/>
      <c r="V391" s="77"/>
      <c r="W391" s="75"/>
      <c r="X391" s="75"/>
      <c r="Y391" s="75"/>
      <c r="Z391" s="78"/>
      <c r="AA391" s="78"/>
      <c r="AB391" s="75"/>
      <c r="AJ391" s="72"/>
    </row>
    <row r="392" spans="1:36" s="69" customFormat="1" x14ac:dyDescent="0.25">
      <c r="A392" s="75"/>
      <c r="B392" s="75"/>
      <c r="C392" s="76"/>
      <c r="D392" s="76"/>
      <c r="E392" s="75"/>
      <c r="F392" s="75"/>
      <c r="G392" s="75"/>
      <c r="H392" s="75"/>
      <c r="I392" s="75"/>
      <c r="J392" s="75"/>
      <c r="K392" s="75"/>
      <c r="L392" s="75"/>
      <c r="M392" s="75"/>
      <c r="N392" s="75"/>
      <c r="O392" s="75"/>
      <c r="P392" s="75"/>
      <c r="Q392" s="75"/>
      <c r="R392" s="75"/>
      <c r="S392" s="75"/>
      <c r="T392" s="75"/>
      <c r="U392" s="75"/>
      <c r="V392" s="77"/>
      <c r="W392" s="75"/>
      <c r="X392" s="75"/>
      <c r="Y392" s="75"/>
      <c r="Z392" s="78"/>
      <c r="AA392" s="78"/>
      <c r="AB392" s="75"/>
      <c r="AJ392" s="72"/>
    </row>
    <row r="393" spans="1:36" s="69" customFormat="1" x14ac:dyDescent="0.25">
      <c r="A393" s="75"/>
      <c r="B393" s="75"/>
      <c r="C393" s="76"/>
      <c r="D393" s="76"/>
      <c r="E393" s="75"/>
      <c r="F393" s="75"/>
      <c r="G393" s="75"/>
      <c r="H393" s="75"/>
      <c r="I393" s="75"/>
      <c r="J393" s="75"/>
      <c r="K393" s="75"/>
      <c r="L393" s="75"/>
      <c r="M393" s="75"/>
      <c r="N393" s="75"/>
      <c r="O393" s="75"/>
      <c r="P393" s="75"/>
      <c r="Q393" s="75"/>
      <c r="R393" s="75"/>
      <c r="S393" s="75"/>
      <c r="T393" s="75"/>
      <c r="U393" s="75"/>
      <c r="V393" s="77"/>
      <c r="W393" s="75"/>
      <c r="X393" s="75"/>
      <c r="Y393" s="75"/>
      <c r="Z393" s="78"/>
      <c r="AA393" s="78"/>
      <c r="AB393" s="75"/>
      <c r="AJ393" s="72"/>
    </row>
    <row r="394" spans="1:36" s="69" customFormat="1" x14ac:dyDescent="0.25">
      <c r="A394" s="75"/>
      <c r="B394" s="75"/>
      <c r="C394" s="76"/>
      <c r="D394" s="76"/>
      <c r="E394" s="75"/>
      <c r="F394" s="75"/>
      <c r="G394" s="75"/>
      <c r="H394" s="75"/>
      <c r="I394" s="75"/>
      <c r="J394" s="75"/>
      <c r="K394" s="75"/>
      <c r="L394" s="75"/>
      <c r="M394" s="75"/>
      <c r="N394" s="75"/>
      <c r="O394" s="75"/>
      <c r="P394" s="75"/>
      <c r="Q394" s="75"/>
      <c r="R394" s="75"/>
      <c r="S394" s="75"/>
      <c r="T394" s="75"/>
      <c r="U394" s="75"/>
      <c r="V394" s="77"/>
      <c r="W394" s="75"/>
      <c r="X394" s="75"/>
      <c r="Y394" s="75"/>
      <c r="Z394" s="78"/>
      <c r="AA394" s="78"/>
      <c r="AB394" s="75"/>
      <c r="AJ394" s="72"/>
    </row>
    <row r="395" spans="1:36" s="69" customFormat="1" x14ac:dyDescent="0.25">
      <c r="A395" s="75"/>
      <c r="B395" s="75"/>
      <c r="C395" s="76"/>
      <c r="D395" s="76"/>
      <c r="E395" s="75"/>
      <c r="F395" s="75"/>
      <c r="G395" s="75"/>
      <c r="H395" s="75"/>
      <c r="I395" s="75"/>
      <c r="J395" s="75"/>
      <c r="K395" s="75"/>
      <c r="L395" s="75"/>
      <c r="M395" s="75"/>
      <c r="N395" s="75"/>
      <c r="O395" s="75"/>
      <c r="P395" s="75"/>
      <c r="Q395" s="75"/>
      <c r="R395" s="75"/>
      <c r="S395" s="75"/>
      <c r="T395" s="75"/>
      <c r="U395" s="75"/>
      <c r="V395" s="77"/>
      <c r="W395" s="75"/>
      <c r="X395" s="75"/>
      <c r="Y395" s="75"/>
      <c r="Z395" s="78"/>
      <c r="AA395" s="78"/>
      <c r="AB395" s="75"/>
      <c r="AJ395" s="72"/>
    </row>
    <row r="396" spans="1:36" s="69" customFormat="1" x14ac:dyDescent="0.25">
      <c r="A396" s="75"/>
      <c r="B396" s="75"/>
      <c r="C396" s="76"/>
      <c r="D396" s="76"/>
      <c r="E396" s="75"/>
      <c r="F396" s="75"/>
      <c r="G396" s="75"/>
      <c r="H396" s="75"/>
      <c r="I396" s="75"/>
      <c r="J396" s="75"/>
      <c r="K396" s="75"/>
      <c r="L396" s="75"/>
      <c r="M396" s="75"/>
      <c r="N396" s="75"/>
      <c r="O396" s="75"/>
      <c r="P396" s="75"/>
      <c r="Q396" s="75"/>
      <c r="R396" s="75"/>
      <c r="S396" s="75"/>
      <c r="T396" s="75"/>
      <c r="U396" s="75"/>
      <c r="V396" s="77"/>
      <c r="W396" s="75"/>
      <c r="X396" s="75"/>
      <c r="Y396" s="75"/>
      <c r="Z396" s="78"/>
      <c r="AA396" s="78"/>
      <c r="AB396" s="75"/>
      <c r="AJ396" s="72"/>
    </row>
    <row r="397" spans="1:36" s="69" customFormat="1" x14ac:dyDescent="0.25">
      <c r="A397" s="75"/>
      <c r="B397" s="75"/>
      <c r="C397" s="76"/>
      <c r="D397" s="76"/>
      <c r="E397" s="75"/>
      <c r="F397" s="75"/>
      <c r="G397" s="75"/>
      <c r="H397" s="75"/>
      <c r="I397" s="75"/>
      <c r="J397" s="75"/>
      <c r="K397" s="75"/>
      <c r="L397" s="75"/>
      <c r="M397" s="75"/>
      <c r="N397" s="75"/>
      <c r="O397" s="75"/>
      <c r="P397" s="75"/>
      <c r="Q397" s="75"/>
      <c r="R397" s="75"/>
      <c r="S397" s="75"/>
      <c r="T397" s="75"/>
      <c r="U397" s="75"/>
      <c r="V397" s="77"/>
      <c r="W397" s="75"/>
      <c r="X397" s="75"/>
      <c r="Y397" s="75"/>
      <c r="Z397" s="78"/>
      <c r="AA397" s="78"/>
      <c r="AB397" s="75"/>
      <c r="AJ397" s="72"/>
    </row>
    <row r="398" spans="1:36" s="69" customFormat="1" x14ac:dyDescent="0.25">
      <c r="A398" s="75"/>
      <c r="B398" s="75"/>
      <c r="C398" s="76"/>
      <c r="D398" s="76"/>
      <c r="E398" s="75"/>
      <c r="F398" s="75"/>
      <c r="G398" s="75"/>
      <c r="H398" s="75"/>
      <c r="I398" s="75"/>
      <c r="J398" s="75"/>
      <c r="K398" s="75"/>
      <c r="L398" s="75"/>
      <c r="M398" s="75"/>
      <c r="N398" s="75"/>
      <c r="O398" s="75"/>
      <c r="P398" s="75"/>
      <c r="Q398" s="75"/>
      <c r="R398" s="75"/>
      <c r="S398" s="75"/>
      <c r="T398" s="75"/>
      <c r="U398" s="75"/>
      <c r="V398" s="77"/>
      <c r="W398" s="75"/>
      <c r="X398" s="75"/>
      <c r="Y398" s="75"/>
      <c r="Z398" s="78"/>
      <c r="AA398" s="78"/>
      <c r="AB398" s="75"/>
      <c r="AJ398" s="72"/>
    </row>
    <row r="399" spans="1:36" s="69" customFormat="1" x14ac:dyDescent="0.25">
      <c r="A399" s="75"/>
      <c r="B399" s="75"/>
      <c r="C399" s="76"/>
      <c r="D399" s="76"/>
      <c r="E399" s="75"/>
      <c r="F399" s="75"/>
      <c r="G399" s="75"/>
      <c r="H399" s="75"/>
      <c r="I399" s="75"/>
      <c r="J399" s="75"/>
      <c r="K399" s="75"/>
      <c r="L399" s="75"/>
      <c r="M399" s="75"/>
      <c r="N399" s="75"/>
      <c r="O399" s="75"/>
      <c r="P399" s="75"/>
      <c r="Q399" s="75"/>
      <c r="R399" s="75"/>
      <c r="S399" s="75"/>
      <c r="T399" s="75"/>
      <c r="U399" s="75"/>
      <c r="V399" s="77"/>
      <c r="W399" s="75"/>
      <c r="X399" s="75"/>
      <c r="Y399" s="75"/>
      <c r="Z399" s="78"/>
      <c r="AA399" s="78"/>
      <c r="AB399" s="75"/>
      <c r="AJ399" s="72"/>
    </row>
    <row r="400" spans="1:36" s="69" customFormat="1" x14ac:dyDescent="0.25">
      <c r="A400" s="75"/>
      <c r="B400" s="75"/>
      <c r="C400" s="76"/>
      <c r="D400" s="76"/>
      <c r="E400" s="75"/>
      <c r="F400" s="75"/>
      <c r="G400" s="75"/>
      <c r="H400" s="75"/>
      <c r="I400" s="75"/>
      <c r="J400" s="75"/>
      <c r="K400" s="75"/>
      <c r="L400" s="75"/>
      <c r="M400" s="75"/>
      <c r="N400" s="75"/>
      <c r="O400" s="75"/>
      <c r="P400" s="75"/>
      <c r="Q400" s="75"/>
      <c r="R400" s="75"/>
      <c r="S400" s="75"/>
      <c r="T400" s="75"/>
      <c r="U400" s="75"/>
      <c r="V400" s="77"/>
      <c r="W400" s="75"/>
      <c r="X400" s="75"/>
      <c r="Y400" s="75"/>
      <c r="Z400" s="78"/>
      <c r="AA400" s="78"/>
      <c r="AB400" s="75"/>
      <c r="AJ400" s="72"/>
    </row>
    <row r="401" spans="1:36" s="69" customFormat="1" x14ac:dyDescent="0.25">
      <c r="A401" s="75"/>
      <c r="B401" s="75"/>
      <c r="C401" s="76"/>
      <c r="D401" s="76"/>
      <c r="E401" s="75"/>
      <c r="F401" s="75"/>
      <c r="G401" s="75"/>
      <c r="H401" s="75"/>
      <c r="I401" s="75"/>
      <c r="J401" s="75"/>
      <c r="K401" s="75"/>
      <c r="L401" s="75"/>
      <c r="M401" s="75"/>
      <c r="N401" s="75"/>
      <c r="O401" s="75"/>
      <c r="P401" s="75"/>
      <c r="Q401" s="75"/>
      <c r="R401" s="75"/>
      <c r="S401" s="75"/>
      <c r="T401" s="75"/>
      <c r="U401" s="75"/>
      <c r="V401" s="77"/>
      <c r="W401" s="75"/>
      <c r="X401" s="75"/>
      <c r="Y401" s="75"/>
      <c r="Z401" s="78"/>
      <c r="AA401" s="78"/>
      <c r="AB401" s="75"/>
      <c r="AJ401" s="72"/>
    </row>
    <row r="402" spans="1:36" s="69" customFormat="1" x14ac:dyDescent="0.25">
      <c r="A402" s="75"/>
      <c r="B402" s="75"/>
      <c r="C402" s="76"/>
      <c r="D402" s="76"/>
      <c r="E402" s="75"/>
      <c r="F402" s="75"/>
      <c r="G402" s="75"/>
      <c r="H402" s="75"/>
      <c r="I402" s="75"/>
      <c r="J402" s="75"/>
      <c r="K402" s="75"/>
      <c r="L402" s="75"/>
      <c r="M402" s="75"/>
      <c r="N402" s="75"/>
      <c r="O402" s="75"/>
      <c r="P402" s="75"/>
      <c r="Q402" s="75"/>
      <c r="R402" s="75"/>
      <c r="S402" s="75"/>
      <c r="T402" s="75"/>
      <c r="U402" s="75"/>
      <c r="V402" s="77"/>
      <c r="W402" s="75"/>
      <c r="X402" s="75"/>
      <c r="Y402" s="75"/>
      <c r="Z402" s="78"/>
      <c r="AA402" s="78"/>
      <c r="AB402" s="75"/>
      <c r="AJ402" s="72"/>
    </row>
    <row r="403" spans="1:36" s="69" customFormat="1" x14ac:dyDescent="0.25">
      <c r="A403" s="75"/>
      <c r="B403" s="75"/>
      <c r="C403" s="76"/>
      <c r="D403" s="76"/>
      <c r="E403" s="75"/>
      <c r="F403" s="75"/>
      <c r="G403" s="75"/>
      <c r="H403" s="75"/>
      <c r="I403" s="75"/>
      <c r="J403" s="75"/>
      <c r="K403" s="75"/>
      <c r="L403" s="75"/>
      <c r="M403" s="75"/>
      <c r="N403" s="75"/>
      <c r="O403" s="75"/>
      <c r="P403" s="75"/>
      <c r="Q403" s="75"/>
      <c r="R403" s="75"/>
      <c r="S403" s="75"/>
      <c r="T403" s="75"/>
      <c r="U403" s="75"/>
      <c r="V403" s="77"/>
      <c r="W403" s="75"/>
      <c r="X403" s="75"/>
      <c r="Y403" s="75"/>
      <c r="Z403" s="78"/>
      <c r="AA403" s="78"/>
      <c r="AB403" s="75"/>
      <c r="AJ403" s="72"/>
    </row>
    <row r="404" spans="1:36" s="69" customFormat="1" x14ac:dyDescent="0.25">
      <c r="A404" s="75"/>
      <c r="B404" s="75"/>
      <c r="C404" s="76"/>
      <c r="D404" s="76"/>
      <c r="E404" s="75"/>
      <c r="F404" s="75"/>
      <c r="G404" s="75"/>
      <c r="H404" s="75"/>
      <c r="I404" s="75"/>
      <c r="J404" s="75"/>
      <c r="K404" s="75"/>
      <c r="L404" s="75"/>
      <c r="M404" s="75"/>
      <c r="N404" s="75"/>
      <c r="O404" s="75"/>
      <c r="P404" s="75"/>
      <c r="Q404" s="75"/>
      <c r="R404" s="75"/>
      <c r="S404" s="75"/>
      <c r="T404" s="75"/>
      <c r="U404" s="75"/>
      <c r="V404" s="77"/>
      <c r="W404" s="75"/>
      <c r="X404" s="75"/>
      <c r="Y404" s="75"/>
      <c r="Z404" s="78"/>
      <c r="AA404" s="78"/>
      <c r="AB404" s="75"/>
      <c r="AJ404" s="72"/>
    </row>
    <row r="405" spans="1:36" s="69" customFormat="1" x14ac:dyDescent="0.25">
      <c r="A405" s="75"/>
      <c r="B405" s="75"/>
      <c r="C405" s="76"/>
      <c r="D405" s="76"/>
      <c r="E405" s="75"/>
      <c r="F405" s="75"/>
      <c r="G405" s="75"/>
      <c r="H405" s="75"/>
      <c r="I405" s="75"/>
      <c r="J405" s="75"/>
      <c r="K405" s="75"/>
      <c r="L405" s="75"/>
      <c r="M405" s="75"/>
      <c r="N405" s="75"/>
      <c r="O405" s="75"/>
      <c r="P405" s="75"/>
      <c r="Q405" s="75"/>
      <c r="R405" s="75"/>
      <c r="S405" s="75"/>
      <c r="T405" s="75"/>
      <c r="U405" s="75"/>
      <c r="V405" s="77"/>
      <c r="W405" s="75"/>
      <c r="X405" s="75"/>
      <c r="Y405" s="75"/>
      <c r="Z405" s="78"/>
      <c r="AA405" s="78"/>
      <c r="AB405" s="75"/>
      <c r="AJ405" s="72"/>
    </row>
    <row r="406" spans="1:36" s="69" customFormat="1" x14ac:dyDescent="0.25">
      <c r="A406" s="75"/>
      <c r="B406" s="75"/>
      <c r="C406" s="76"/>
      <c r="D406" s="76"/>
      <c r="E406" s="75"/>
      <c r="F406" s="75"/>
      <c r="G406" s="75"/>
      <c r="H406" s="75"/>
      <c r="I406" s="75"/>
      <c r="J406" s="75"/>
      <c r="K406" s="75"/>
      <c r="L406" s="75"/>
      <c r="M406" s="75"/>
      <c r="N406" s="75"/>
      <c r="O406" s="75"/>
      <c r="P406" s="75"/>
      <c r="Q406" s="75"/>
      <c r="R406" s="75"/>
      <c r="S406" s="75"/>
      <c r="T406" s="75"/>
      <c r="U406" s="75"/>
      <c r="V406" s="77"/>
      <c r="W406" s="75"/>
      <c r="X406" s="75"/>
      <c r="Y406" s="75"/>
      <c r="Z406" s="78"/>
      <c r="AA406" s="78"/>
      <c r="AB406" s="75"/>
      <c r="AJ406" s="72"/>
    </row>
    <row r="407" spans="1:36" s="69" customFormat="1" x14ac:dyDescent="0.25">
      <c r="A407" s="75"/>
      <c r="B407" s="75"/>
      <c r="C407" s="76"/>
      <c r="D407" s="76"/>
      <c r="E407" s="75"/>
      <c r="F407" s="75"/>
      <c r="G407" s="75"/>
      <c r="H407" s="75"/>
      <c r="I407" s="75"/>
      <c r="J407" s="75"/>
      <c r="K407" s="75"/>
      <c r="L407" s="75"/>
      <c r="M407" s="75"/>
      <c r="N407" s="75"/>
      <c r="O407" s="75"/>
      <c r="P407" s="75"/>
      <c r="Q407" s="75"/>
      <c r="R407" s="75"/>
      <c r="S407" s="75"/>
      <c r="T407" s="75"/>
      <c r="U407" s="75"/>
      <c r="V407" s="77"/>
      <c r="W407" s="75"/>
      <c r="X407" s="75"/>
      <c r="Y407" s="75"/>
      <c r="Z407" s="78"/>
      <c r="AA407" s="78"/>
      <c r="AB407" s="75"/>
      <c r="AJ407" s="72"/>
    </row>
    <row r="408" spans="1:36" s="69" customFormat="1" x14ac:dyDescent="0.25">
      <c r="A408" s="75"/>
      <c r="B408" s="75"/>
      <c r="C408" s="76"/>
      <c r="D408" s="76"/>
      <c r="E408" s="75"/>
      <c r="F408" s="75"/>
      <c r="G408" s="75"/>
      <c r="H408" s="75"/>
      <c r="I408" s="75"/>
      <c r="J408" s="75"/>
      <c r="K408" s="75"/>
      <c r="L408" s="75"/>
      <c r="M408" s="75"/>
      <c r="N408" s="75"/>
      <c r="O408" s="75"/>
      <c r="P408" s="75"/>
      <c r="Q408" s="75"/>
      <c r="R408" s="75"/>
      <c r="S408" s="75"/>
      <c r="T408" s="75"/>
      <c r="U408" s="75"/>
      <c r="V408" s="77"/>
      <c r="W408" s="75"/>
      <c r="X408" s="75"/>
      <c r="Y408" s="75"/>
      <c r="Z408" s="78"/>
      <c r="AA408" s="78"/>
      <c r="AB408" s="75"/>
      <c r="AJ408" s="72"/>
    </row>
    <row r="409" spans="1:36" s="69" customFormat="1" x14ac:dyDescent="0.25">
      <c r="A409" s="75"/>
      <c r="B409" s="75"/>
      <c r="C409" s="76"/>
      <c r="D409" s="76"/>
      <c r="E409" s="75"/>
      <c r="F409" s="75"/>
      <c r="G409" s="75"/>
      <c r="H409" s="75"/>
      <c r="I409" s="75"/>
      <c r="J409" s="75"/>
      <c r="K409" s="75"/>
      <c r="L409" s="75"/>
      <c r="M409" s="75"/>
      <c r="N409" s="75"/>
      <c r="O409" s="75"/>
      <c r="P409" s="75"/>
      <c r="Q409" s="75"/>
      <c r="R409" s="75"/>
      <c r="S409" s="75"/>
      <c r="T409" s="75"/>
      <c r="U409" s="75"/>
      <c r="V409" s="77"/>
      <c r="W409" s="75"/>
      <c r="X409" s="75"/>
      <c r="Y409" s="75"/>
      <c r="Z409" s="78"/>
      <c r="AA409" s="78"/>
      <c r="AB409" s="75"/>
      <c r="AJ409" s="72"/>
    </row>
    <row r="410" spans="1:36" s="69" customFormat="1" x14ac:dyDescent="0.25">
      <c r="A410" s="75"/>
      <c r="B410" s="75"/>
      <c r="C410" s="76"/>
      <c r="D410" s="76"/>
      <c r="E410" s="75"/>
      <c r="F410" s="75"/>
      <c r="G410" s="75"/>
      <c r="H410" s="75"/>
      <c r="I410" s="75"/>
      <c r="J410" s="75"/>
      <c r="K410" s="75"/>
      <c r="L410" s="75"/>
      <c r="M410" s="75"/>
      <c r="N410" s="75"/>
      <c r="O410" s="75"/>
      <c r="P410" s="75"/>
      <c r="Q410" s="75"/>
      <c r="R410" s="75"/>
      <c r="S410" s="75"/>
      <c r="T410" s="75"/>
      <c r="U410" s="75"/>
      <c r="V410" s="77"/>
      <c r="W410" s="75"/>
      <c r="X410" s="75"/>
      <c r="Y410" s="75"/>
      <c r="Z410" s="78"/>
      <c r="AA410" s="78"/>
      <c r="AB410" s="75"/>
      <c r="AJ410" s="72"/>
    </row>
    <row r="411" spans="1:36" s="69" customFormat="1" x14ac:dyDescent="0.25">
      <c r="A411" s="75"/>
      <c r="B411" s="75"/>
      <c r="C411" s="76"/>
      <c r="D411" s="76"/>
      <c r="E411" s="75"/>
      <c r="F411" s="75"/>
      <c r="G411" s="75"/>
      <c r="H411" s="75"/>
      <c r="I411" s="75"/>
      <c r="J411" s="75"/>
      <c r="K411" s="75"/>
      <c r="L411" s="75"/>
      <c r="M411" s="75"/>
      <c r="N411" s="75"/>
      <c r="O411" s="75"/>
      <c r="P411" s="75"/>
      <c r="Q411" s="75"/>
      <c r="R411" s="75"/>
      <c r="S411" s="75"/>
      <c r="T411" s="75"/>
      <c r="U411" s="75"/>
      <c r="V411" s="77"/>
      <c r="W411" s="75"/>
      <c r="X411" s="75"/>
      <c r="Y411" s="75"/>
      <c r="Z411" s="78"/>
      <c r="AA411" s="78"/>
      <c r="AB411" s="75"/>
      <c r="AJ411" s="72"/>
    </row>
    <row r="412" spans="1:36" s="69" customFormat="1" x14ac:dyDescent="0.25">
      <c r="A412" s="75"/>
      <c r="B412" s="75"/>
      <c r="C412" s="76"/>
      <c r="D412" s="76"/>
      <c r="E412" s="75"/>
      <c r="F412" s="75"/>
      <c r="G412" s="75"/>
      <c r="H412" s="75"/>
      <c r="I412" s="75"/>
      <c r="J412" s="75"/>
      <c r="K412" s="75"/>
      <c r="L412" s="75"/>
      <c r="M412" s="75"/>
      <c r="N412" s="75"/>
      <c r="O412" s="75"/>
      <c r="P412" s="75"/>
      <c r="Q412" s="75"/>
      <c r="R412" s="75"/>
      <c r="S412" s="75"/>
      <c r="T412" s="75"/>
      <c r="U412" s="75"/>
      <c r="V412" s="77"/>
      <c r="W412" s="75"/>
      <c r="X412" s="75"/>
      <c r="Y412" s="75"/>
      <c r="Z412" s="78"/>
      <c r="AA412" s="78"/>
      <c r="AB412" s="75"/>
      <c r="AJ412" s="72"/>
    </row>
    <row r="413" spans="1:36" s="69" customFormat="1" x14ac:dyDescent="0.25">
      <c r="A413" s="75"/>
      <c r="B413" s="75"/>
      <c r="C413" s="76"/>
      <c r="D413" s="76"/>
      <c r="E413" s="75"/>
      <c r="F413" s="75"/>
      <c r="G413" s="75"/>
      <c r="H413" s="75"/>
      <c r="I413" s="75"/>
      <c r="J413" s="75"/>
      <c r="K413" s="75"/>
      <c r="L413" s="75"/>
      <c r="M413" s="75"/>
      <c r="N413" s="75"/>
      <c r="O413" s="75"/>
      <c r="P413" s="75"/>
      <c r="Q413" s="75"/>
      <c r="R413" s="75"/>
      <c r="S413" s="75"/>
      <c r="T413" s="75"/>
      <c r="U413" s="75"/>
      <c r="V413" s="77"/>
      <c r="W413" s="75"/>
      <c r="X413" s="75"/>
      <c r="Y413" s="75"/>
      <c r="Z413" s="78"/>
      <c r="AA413" s="78"/>
      <c r="AB413" s="75"/>
      <c r="AJ413" s="72"/>
    </row>
    <row r="414" spans="1:36" s="69" customFormat="1" x14ac:dyDescent="0.25">
      <c r="A414" s="75"/>
      <c r="B414" s="75"/>
      <c r="C414" s="76"/>
      <c r="D414" s="76"/>
      <c r="E414" s="75"/>
      <c r="F414" s="75"/>
      <c r="G414" s="75"/>
      <c r="H414" s="75"/>
      <c r="I414" s="75"/>
      <c r="J414" s="75"/>
      <c r="K414" s="75"/>
      <c r="L414" s="75"/>
      <c r="M414" s="75"/>
      <c r="N414" s="75"/>
      <c r="O414" s="75"/>
      <c r="P414" s="75"/>
      <c r="Q414" s="75"/>
      <c r="R414" s="75"/>
      <c r="S414" s="75"/>
      <c r="T414" s="75"/>
      <c r="U414" s="75"/>
      <c r="V414" s="77"/>
      <c r="W414" s="75"/>
      <c r="X414" s="75"/>
      <c r="Y414" s="75"/>
      <c r="Z414" s="78"/>
      <c r="AA414" s="78"/>
      <c r="AB414" s="75"/>
      <c r="AJ414" s="72"/>
    </row>
    <row r="415" spans="1:36" s="69" customFormat="1" x14ac:dyDescent="0.25">
      <c r="A415" s="75"/>
      <c r="B415" s="75"/>
      <c r="C415" s="76"/>
      <c r="D415" s="76"/>
      <c r="E415" s="75"/>
      <c r="F415" s="75"/>
      <c r="G415" s="75"/>
      <c r="H415" s="75"/>
      <c r="I415" s="75"/>
      <c r="J415" s="75"/>
      <c r="K415" s="75"/>
      <c r="L415" s="75"/>
      <c r="M415" s="75"/>
      <c r="N415" s="75"/>
      <c r="O415" s="75"/>
      <c r="P415" s="75"/>
      <c r="Q415" s="75"/>
      <c r="R415" s="75"/>
      <c r="S415" s="75"/>
      <c r="T415" s="75"/>
      <c r="U415" s="75"/>
      <c r="V415" s="77"/>
      <c r="W415" s="75"/>
      <c r="X415" s="75"/>
      <c r="Y415" s="75"/>
      <c r="Z415" s="78"/>
      <c r="AA415" s="78"/>
      <c r="AB415" s="75"/>
      <c r="AJ415" s="72"/>
    </row>
    <row r="416" spans="1:36" s="69" customFormat="1" x14ac:dyDescent="0.25">
      <c r="A416" s="75"/>
      <c r="B416" s="75"/>
      <c r="C416" s="76"/>
      <c r="D416" s="76"/>
      <c r="E416" s="75"/>
      <c r="F416" s="75"/>
      <c r="G416" s="75"/>
      <c r="H416" s="75"/>
      <c r="I416" s="75"/>
      <c r="J416" s="75"/>
      <c r="K416" s="75"/>
      <c r="L416" s="75"/>
      <c r="M416" s="75"/>
      <c r="N416" s="75"/>
      <c r="O416" s="75"/>
      <c r="P416" s="75"/>
      <c r="Q416" s="75"/>
      <c r="R416" s="75"/>
      <c r="S416" s="75"/>
      <c r="T416" s="75"/>
      <c r="U416" s="75"/>
      <c r="V416" s="77"/>
      <c r="W416" s="75"/>
      <c r="X416" s="75"/>
      <c r="Y416" s="75"/>
      <c r="Z416" s="78"/>
      <c r="AA416" s="78"/>
      <c r="AB416" s="75"/>
      <c r="AJ416" s="72"/>
    </row>
    <row r="417" spans="1:36" s="69" customFormat="1" x14ac:dyDescent="0.25">
      <c r="A417" s="75"/>
      <c r="B417" s="75"/>
      <c r="C417" s="76"/>
      <c r="D417" s="76"/>
      <c r="E417" s="75"/>
      <c r="F417" s="75"/>
      <c r="G417" s="75"/>
      <c r="H417" s="75"/>
      <c r="I417" s="75"/>
      <c r="J417" s="75"/>
      <c r="K417" s="75"/>
      <c r="L417" s="75"/>
      <c r="M417" s="75"/>
      <c r="N417" s="75"/>
      <c r="O417" s="75"/>
      <c r="P417" s="75"/>
      <c r="Q417" s="75"/>
      <c r="R417" s="75"/>
      <c r="S417" s="75"/>
      <c r="T417" s="75"/>
      <c r="U417" s="75"/>
      <c r="V417" s="77"/>
      <c r="W417" s="75"/>
      <c r="X417" s="75"/>
      <c r="Y417" s="75"/>
      <c r="Z417" s="78"/>
      <c r="AA417" s="78"/>
      <c r="AB417" s="75"/>
      <c r="AJ417" s="72"/>
    </row>
    <row r="418" spans="1:36" s="69" customFormat="1" x14ac:dyDescent="0.25">
      <c r="A418" s="75"/>
      <c r="B418" s="75"/>
      <c r="C418" s="76"/>
      <c r="D418" s="76"/>
      <c r="E418" s="75"/>
      <c r="F418" s="75"/>
      <c r="G418" s="75"/>
      <c r="H418" s="75"/>
      <c r="I418" s="75"/>
      <c r="J418" s="75"/>
      <c r="K418" s="75"/>
      <c r="L418" s="75"/>
      <c r="M418" s="75"/>
      <c r="N418" s="75"/>
      <c r="O418" s="75"/>
      <c r="P418" s="75"/>
      <c r="Q418" s="75"/>
      <c r="R418" s="75"/>
      <c r="S418" s="75"/>
      <c r="T418" s="75"/>
      <c r="U418" s="75"/>
      <c r="V418" s="77"/>
      <c r="W418" s="75"/>
      <c r="X418" s="75"/>
      <c r="Y418" s="75"/>
      <c r="Z418" s="78"/>
      <c r="AA418" s="78"/>
      <c r="AB418" s="75"/>
      <c r="AJ418" s="72"/>
    </row>
    <row r="419" spans="1:36" s="69" customFormat="1" x14ac:dyDescent="0.25">
      <c r="A419" s="75"/>
      <c r="B419" s="75"/>
      <c r="C419" s="76"/>
      <c r="D419" s="76"/>
      <c r="E419" s="75"/>
      <c r="F419" s="75"/>
      <c r="G419" s="75"/>
      <c r="H419" s="75"/>
      <c r="I419" s="75"/>
      <c r="J419" s="75"/>
      <c r="K419" s="75"/>
      <c r="L419" s="75"/>
      <c r="M419" s="75"/>
      <c r="N419" s="75"/>
      <c r="O419" s="75"/>
      <c r="P419" s="75"/>
      <c r="Q419" s="75"/>
      <c r="R419" s="75"/>
      <c r="S419" s="75"/>
      <c r="T419" s="75"/>
      <c r="U419" s="75"/>
      <c r="V419" s="77"/>
      <c r="W419" s="75"/>
      <c r="X419" s="75"/>
      <c r="Y419" s="75"/>
      <c r="Z419" s="78"/>
      <c r="AA419" s="78"/>
      <c r="AB419" s="75"/>
      <c r="AJ419" s="72"/>
    </row>
    <row r="420" spans="1:36" s="69" customFormat="1" x14ac:dyDescent="0.25">
      <c r="A420" s="75"/>
      <c r="B420" s="75"/>
      <c r="C420" s="76"/>
      <c r="D420" s="76"/>
      <c r="E420" s="75"/>
      <c r="F420" s="75"/>
      <c r="G420" s="75"/>
      <c r="H420" s="75"/>
      <c r="I420" s="75"/>
      <c r="J420" s="75"/>
      <c r="K420" s="75"/>
      <c r="L420" s="75"/>
      <c r="M420" s="75"/>
      <c r="N420" s="75"/>
      <c r="O420" s="75"/>
      <c r="P420" s="75"/>
      <c r="Q420" s="75"/>
      <c r="R420" s="75"/>
      <c r="S420" s="75"/>
      <c r="T420" s="75"/>
      <c r="U420" s="75"/>
      <c r="V420" s="77"/>
      <c r="W420" s="75"/>
      <c r="X420" s="75"/>
      <c r="Y420" s="75"/>
      <c r="Z420" s="78"/>
      <c r="AA420" s="78"/>
      <c r="AB420" s="75"/>
      <c r="AJ420" s="72"/>
    </row>
    <row r="421" spans="1:36" s="69" customFormat="1" x14ac:dyDescent="0.25">
      <c r="A421" s="75"/>
      <c r="B421" s="75"/>
      <c r="C421" s="76"/>
      <c r="D421" s="76"/>
      <c r="E421" s="75"/>
      <c r="F421" s="75"/>
      <c r="G421" s="75"/>
      <c r="H421" s="75"/>
      <c r="I421" s="75"/>
      <c r="J421" s="75"/>
      <c r="K421" s="75"/>
      <c r="L421" s="75"/>
      <c r="M421" s="75"/>
      <c r="N421" s="75"/>
      <c r="O421" s="75"/>
      <c r="P421" s="75"/>
      <c r="Q421" s="75"/>
      <c r="R421" s="75"/>
      <c r="S421" s="75"/>
      <c r="T421" s="75"/>
      <c r="U421" s="75"/>
      <c r="V421" s="77"/>
      <c r="W421" s="75"/>
      <c r="X421" s="75"/>
      <c r="Y421" s="75"/>
      <c r="Z421" s="78"/>
      <c r="AA421" s="78"/>
      <c r="AB421" s="75"/>
      <c r="AJ421" s="72"/>
    </row>
    <row r="422" spans="1:36" s="69" customFormat="1" x14ac:dyDescent="0.25">
      <c r="A422" s="75"/>
      <c r="B422" s="75"/>
      <c r="C422" s="76"/>
      <c r="D422" s="76"/>
      <c r="E422" s="75"/>
      <c r="F422" s="75"/>
      <c r="G422" s="75"/>
      <c r="H422" s="75"/>
      <c r="I422" s="75"/>
      <c r="J422" s="75"/>
      <c r="K422" s="75"/>
      <c r="L422" s="75"/>
      <c r="M422" s="75"/>
      <c r="N422" s="75"/>
      <c r="O422" s="75"/>
      <c r="P422" s="75"/>
      <c r="Q422" s="75"/>
      <c r="R422" s="75"/>
      <c r="S422" s="75"/>
      <c r="T422" s="75"/>
      <c r="U422" s="75"/>
      <c r="V422" s="77"/>
      <c r="W422" s="75"/>
      <c r="X422" s="75"/>
      <c r="Y422" s="75"/>
      <c r="Z422" s="78"/>
      <c r="AA422" s="78"/>
      <c r="AB422" s="75"/>
      <c r="AJ422" s="72"/>
    </row>
    <row r="423" spans="1:36" s="69" customFormat="1" x14ac:dyDescent="0.25">
      <c r="A423" s="75"/>
      <c r="B423" s="75"/>
      <c r="C423" s="76"/>
      <c r="D423" s="76"/>
      <c r="E423" s="75"/>
      <c r="F423" s="75"/>
      <c r="G423" s="75"/>
      <c r="H423" s="75"/>
      <c r="I423" s="75"/>
      <c r="J423" s="75"/>
      <c r="K423" s="75"/>
      <c r="L423" s="75"/>
      <c r="M423" s="75"/>
      <c r="N423" s="75"/>
      <c r="O423" s="75"/>
      <c r="P423" s="75"/>
      <c r="Q423" s="75"/>
      <c r="R423" s="75"/>
      <c r="S423" s="75"/>
      <c r="T423" s="75"/>
      <c r="U423" s="75"/>
      <c r="V423" s="77"/>
      <c r="W423" s="75"/>
      <c r="X423" s="75"/>
      <c r="Y423" s="75"/>
      <c r="Z423" s="78"/>
      <c r="AA423" s="78"/>
      <c r="AB423" s="75"/>
      <c r="AJ423" s="72"/>
    </row>
    <row r="424" spans="1:36" s="69" customFormat="1" x14ac:dyDescent="0.25">
      <c r="A424" s="75"/>
      <c r="B424" s="75"/>
      <c r="C424" s="76"/>
      <c r="D424" s="76"/>
      <c r="E424" s="75"/>
      <c r="F424" s="75"/>
      <c r="G424" s="75"/>
      <c r="H424" s="75"/>
      <c r="I424" s="75"/>
      <c r="J424" s="75"/>
      <c r="K424" s="75"/>
      <c r="L424" s="75"/>
      <c r="M424" s="75"/>
      <c r="N424" s="75"/>
      <c r="O424" s="75"/>
      <c r="P424" s="75"/>
      <c r="Q424" s="75"/>
      <c r="R424" s="75"/>
      <c r="S424" s="75"/>
      <c r="T424" s="75"/>
      <c r="U424" s="75"/>
      <c r="V424" s="77"/>
      <c r="W424" s="75"/>
      <c r="X424" s="75"/>
      <c r="Y424" s="75"/>
      <c r="Z424" s="78"/>
      <c r="AA424" s="78"/>
      <c r="AB424" s="75"/>
      <c r="AJ424" s="72"/>
    </row>
    <row r="425" spans="1:36" s="69" customFormat="1" x14ac:dyDescent="0.25">
      <c r="A425" s="75"/>
      <c r="B425" s="75"/>
      <c r="C425" s="76"/>
      <c r="D425" s="76"/>
      <c r="E425" s="75"/>
      <c r="F425" s="75"/>
      <c r="G425" s="75"/>
      <c r="H425" s="75"/>
      <c r="I425" s="75"/>
      <c r="J425" s="75"/>
      <c r="K425" s="75"/>
      <c r="L425" s="75"/>
      <c r="M425" s="75"/>
      <c r="N425" s="75"/>
      <c r="O425" s="75"/>
      <c r="P425" s="75"/>
      <c r="Q425" s="75"/>
      <c r="R425" s="75"/>
      <c r="S425" s="75"/>
      <c r="T425" s="75"/>
      <c r="U425" s="75"/>
      <c r="V425" s="77"/>
      <c r="W425" s="75"/>
      <c r="X425" s="75"/>
      <c r="Y425" s="75"/>
      <c r="Z425" s="78"/>
      <c r="AA425" s="78"/>
      <c r="AB425" s="75"/>
      <c r="AJ425" s="72"/>
    </row>
    <row r="426" spans="1:36" s="69" customFormat="1" x14ac:dyDescent="0.25">
      <c r="A426" s="75"/>
      <c r="B426" s="75"/>
      <c r="C426" s="76"/>
      <c r="D426" s="76"/>
      <c r="E426" s="75"/>
      <c r="F426" s="75"/>
      <c r="G426" s="75"/>
      <c r="H426" s="75"/>
      <c r="I426" s="75"/>
      <c r="J426" s="75"/>
      <c r="K426" s="75"/>
      <c r="L426" s="75"/>
      <c r="M426" s="75"/>
      <c r="N426" s="75"/>
      <c r="O426" s="75"/>
      <c r="P426" s="75"/>
      <c r="Q426" s="75"/>
      <c r="R426" s="75"/>
      <c r="S426" s="75"/>
      <c r="T426" s="75"/>
      <c r="U426" s="75"/>
      <c r="V426" s="77"/>
      <c r="W426" s="75"/>
      <c r="X426" s="75"/>
      <c r="Y426" s="75"/>
      <c r="Z426" s="78"/>
      <c r="AA426" s="78"/>
      <c r="AB426" s="75"/>
      <c r="AJ426" s="72"/>
    </row>
    <row r="427" spans="1:36" s="69" customFormat="1" x14ac:dyDescent="0.25">
      <c r="A427" s="75"/>
      <c r="B427" s="75"/>
      <c r="C427" s="76"/>
      <c r="D427" s="76"/>
      <c r="E427" s="75"/>
      <c r="F427" s="75"/>
      <c r="G427" s="75"/>
      <c r="H427" s="75"/>
      <c r="I427" s="75"/>
      <c r="J427" s="75"/>
      <c r="K427" s="75"/>
      <c r="L427" s="75"/>
      <c r="M427" s="75"/>
      <c r="N427" s="75"/>
      <c r="O427" s="75"/>
      <c r="P427" s="75"/>
      <c r="Q427" s="75"/>
      <c r="R427" s="75"/>
      <c r="S427" s="75"/>
      <c r="T427" s="75"/>
      <c r="U427" s="75"/>
      <c r="V427" s="77"/>
      <c r="W427" s="75"/>
      <c r="X427" s="75"/>
      <c r="Y427" s="75"/>
      <c r="Z427" s="78"/>
      <c r="AA427" s="78"/>
      <c r="AB427" s="75"/>
      <c r="AJ427" s="72"/>
    </row>
    <row r="428" spans="1:36" s="69" customFormat="1" x14ac:dyDescent="0.25">
      <c r="A428" s="75"/>
      <c r="B428" s="75"/>
      <c r="C428" s="76"/>
      <c r="D428" s="76"/>
      <c r="E428" s="75"/>
      <c r="F428" s="75"/>
      <c r="G428" s="75"/>
      <c r="H428" s="75"/>
      <c r="I428" s="75"/>
      <c r="J428" s="75"/>
      <c r="K428" s="75"/>
      <c r="L428" s="75"/>
      <c r="M428" s="75"/>
      <c r="N428" s="75"/>
      <c r="O428" s="75"/>
      <c r="P428" s="75"/>
      <c r="Q428" s="75"/>
      <c r="R428" s="75"/>
      <c r="S428" s="75"/>
      <c r="T428" s="75"/>
      <c r="U428" s="75"/>
      <c r="V428" s="77"/>
      <c r="W428" s="75"/>
      <c r="X428" s="75"/>
      <c r="Y428" s="75"/>
      <c r="Z428" s="78"/>
      <c r="AA428" s="78"/>
      <c r="AB428" s="75"/>
      <c r="AJ428" s="72"/>
    </row>
    <row r="429" spans="1:36" s="69" customFormat="1" x14ac:dyDescent="0.25">
      <c r="A429" s="75"/>
      <c r="B429" s="75"/>
      <c r="C429" s="76"/>
      <c r="D429" s="76"/>
      <c r="E429" s="75"/>
      <c r="F429" s="75"/>
      <c r="G429" s="75"/>
      <c r="H429" s="75"/>
      <c r="I429" s="75"/>
      <c r="J429" s="75"/>
      <c r="K429" s="75"/>
      <c r="L429" s="75"/>
      <c r="M429" s="75"/>
      <c r="N429" s="75"/>
      <c r="O429" s="75"/>
      <c r="P429" s="75"/>
      <c r="Q429" s="75"/>
      <c r="R429" s="75"/>
      <c r="S429" s="75"/>
      <c r="T429" s="75"/>
      <c r="U429" s="75"/>
      <c r="V429" s="77"/>
      <c r="W429" s="75"/>
      <c r="X429" s="75"/>
      <c r="Y429" s="75"/>
      <c r="Z429" s="78"/>
      <c r="AA429" s="78"/>
      <c r="AB429" s="75"/>
      <c r="AJ429" s="72"/>
    </row>
    <row r="430" spans="1:36" s="69" customFormat="1" x14ac:dyDescent="0.25">
      <c r="A430" s="75"/>
      <c r="B430" s="75"/>
      <c r="C430" s="76"/>
      <c r="D430" s="76"/>
      <c r="E430" s="75"/>
      <c r="F430" s="75"/>
      <c r="G430" s="75"/>
      <c r="H430" s="75"/>
      <c r="I430" s="75"/>
      <c r="J430" s="75"/>
      <c r="K430" s="75"/>
      <c r="L430" s="75"/>
      <c r="M430" s="75"/>
      <c r="N430" s="75"/>
      <c r="O430" s="75"/>
      <c r="P430" s="75"/>
      <c r="Q430" s="75"/>
      <c r="R430" s="75"/>
      <c r="S430" s="75"/>
      <c r="T430" s="75"/>
      <c r="U430" s="75"/>
      <c r="V430" s="77"/>
      <c r="W430" s="75"/>
      <c r="X430" s="75"/>
      <c r="Y430" s="75"/>
      <c r="Z430" s="78"/>
      <c r="AA430" s="78"/>
      <c r="AB430" s="75"/>
      <c r="AJ430" s="72"/>
    </row>
    <row r="431" spans="1:36" s="69" customFormat="1" x14ac:dyDescent="0.25">
      <c r="A431" s="75"/>
      <c r="B431" s="75"/>
      <c r="C431" s="76"/>
      <c r="D431" s="76"/>
      <c r="E431" s="75"/>
      <c r="F431" s="75"/>
      <c r="G431" s="75"/>
      <c r="H431" s="75"/>
      <c r="I431" s="75"/>
      <c r="J431" s="75"/>
      <c r="K431" s="75"/>
      <c r="L431" s="75"/>
      <c r="M431" s="75"/>
      <c r="N431" s="75"/>
      <c r="O431" s="75"/>
      <c r="P431" s="75"/>
      <c r="Q431" s="75"/>
      <c r="R431" s="75"/>
      <c r="S431" s="75"/>
      <c r="T431" s="75"/>
      <c r="U431" s="75"/>
      <c r="V431" s="77"/>
      <c r="W431" s="75"/>
      <c r="X431" s="75"/>
      <c r="Y431" s="75"/>
      <c r="Z431" s="78"/>
      <c r="AA431" s="78"/>
      <c r="AB431" s="75"/>
      <c r="AJ431" s="72"/>
    </row>
    <row r="432" spans="1:36" s="69" customFormat="1" x14ac:dyDescent="0.25">
      <c r="A432" s="75"/>
      <c r="B432" s="75"/>
      <c r="C432" s="76"/>
      <c r="D432" s="76"/>
      <c r="E432" s="75"/>
      <c r="F432" s="75"/>
      <c r="G432" s="75"/>
      <c r="H432" s="75"/>
      <c r="I432" s="75"/>
      <c r="J432" s="75"/>
      <c r="K432" s="75"/>
      <c r="L432" s="75"/>
      <c r="M432" s="75"/>
      <c r="N432" s="75"/>
      <c r="O432" s="75"/>
      <c r="P432" s="75"/>
      <c r="Q432" s="75"/>
      <c r="R432" s="75"/>
      <c r="S432" s="75"/>
      <c r="T432" s="75"/>
      <c r="U432" s="75"/>
      <c r="V432" s="77"/>
      <c r="W432" s="75"/>
      <c r="X432" s="75"/>
      <c r="Y432" s="75"/>
      <c r="Z432" s="78"/>
      <c r="AA432" s="78"/>
      <c r="AB432" s="75"/>
      <c r="AJ432" s="72"/>
    </row>
    <row r="433" spans="1:36" s="69" customFormat="1" x14ac:dyDescent="0.25">
      <c r="A433" s="75"/>
      <c r="B433" s="75"/>
      <c r="C433" s="76"/>
      <c r="D433" s="76"/>
      <c r="E433" s="75"/>
      <c r="F433" s="75"/>
      <c r="G433" s="75"/>
      <c r="H433" s="75"/>
      <c r="I433" s="75"/>
      <c r="J433" s="75"/>
      <c r="K433" s="75"/>
      <c r="L433" s="75"/>
      <c r="M433" s="75"/>
      <c r="N433" s="75"/>
      <c r="O433" s="75"/>
      <c r="P433" s="75"/>
      <c r="Q433" s="75"/>
      <c r="R433" s="75"/>
      <c r="S433" s="75"/>
      <c r="T433" s="75"/>
      <c r="U433" s="75"/>
      <c r="V433" s="77"/>
      <c r="W433" s="75"/>
      <c r="X433" s="75"/>
      <c r="Y433" s="75"/>
      <c r="Z433" s="78"/>
      <c r="AA433" s="78"/>
      <c r="AB433" s="75"/>
      <c r="AJ433" s="72"/>
    </row>
    <row r="434" spans="1:36" s="69" customFormat="1" x14ac:dyDescent="0.25">
      <c r="A434" s="75"/>
      <c r="B434" s="75"/>
      <c r="C434" s="76"/>
      <c r="D434" s="76"/>
      <c r="E434" s="75"/>
      <c r="F434" s="75"/>
      <c r="G434" s="75"/>
      <c r="H434" s="75"/>
      <c r="I434" s="75"/>
      <c r="J434" s="75"/>
      <c r="K434" s="75"/>
      <c r="L434" s="75"/>
      <c r="M434" s="75"/>
      <c r="N434" s="75"/>
      <c r="O434" s="75"/>
      <c r="P434" s="75"/>
      <c r="Q434" s="75"/>
      <c r="R434" s="75"/>
      <c r="S434" s="75"/>
      <c r="T434" s="75"/>
      <c r="U434" s="75"/>
      <c r="V434" s="77"/>
      <c r="W434" s="75"/>
      <c r="X434" s="75"/>
      <c r="Y434" s="75"/>
      <c r="Z434" s="78"/>
      <c r="AA434" s="78"/>
      <c r="AB434" s="75"/>
      <c r="AJ434" s="72"/>
    </row>
    <row r="435" spans="1:36" s="69" customFormat="1" x14ac:dyDescent="0.25">
      <c r="A435" s="75"/>
      <c r="B435" s="75"/>
      <c r="C435" s="76"/>
      <c r="D435" s="76"/>
      <c r="E435" s="75"/>
      <c r="F435" s="75"/>
      <c r="G435" s="75"/>
      <c r="H435" s="75"/>
      <c r="I435" s="75"/>
      <c r="J435" s="75"/>
      <c r="K435" s="75"/>
      <c r="L435" s="75"/>
      <c r="M435" s="75"/>
      <c r="N435" s="75"/>
      <c r="O435" s="75"/>
      <c r="P435" s="75"/>
      <c r="Q435" s="75"/>
      <c r="R435" s="75"/>
      <c r="S435" s="75"/>
      <c r="T435" s="75"/>
      <c r="U435" s="75"/>
      <c r="V435" s="77"/>
      <c r="W435" s="75"/>
      <c r="X435" s="75"/>
      <c r="Y435" s="75"/>
      <c r="Z435" s="78"/>
      <c r="AA435" s="78"/>
      <c r="AB435" s="75"/>
      <c r="AJ435" s="72"/>
    </row>
    <row r="436" spans="1:36" s="69" customFormat="1" x14ac:dyDescent="0.25">
      <c r="A436" s="75"/>
      <c r="B436" s="75"/>
      <c r="C436" s="76"/>
      <c r="D436" s="76"/>
      <c r="E436" s="75"/>
      <c r="F436" s="75"/>
      <c r="G436" s="75"/>
      <c r="H436" s="75"/>
      <c r="I436" s="75"/>
      <c r="J436" s="75"/>
      <c r="K436" s="75"/>
      <c r="L436" s="75"/>
      <c r="M436" s="75"/>
      <c r="N436" s="75"/>
      <c r="O436" s="75"/>
      <c r="P436" s="75"/>
      <c r="Q436" s="75"/>
      <c r="R436" s="75"/>
      <c r="S436" s="75"/>
      <c r="T436" s="75"/>
      <c r="U436" s="75"/>
      <c r="V436" s="77"/>
      <c r="W436" s="75"/>
      <c r="X436" s="75"/>
      <c r="Y436" s="75"/>
      <c r="Z436" s="78"/>
      <c r="AA436" s="78"/>
      <c r="AB436" s="75"/>
      <c r="AJ436" s="72"/>
    </row>
    <row r="437" spans="1:36" s="69" customFormat="1" x14ac:dyDescent="0.25">
      <c r="A437" s="75"/>
      <c r="B437" s="75"/>
      <c r="C437" s="76"/>
      <c r="D437" s="76"/>
      <c r="E437" s="75"/>
      <c r="F437" s="75"/>
      <c r="G437" s="75"/>
      <c r="H437" s="75"/>
      <c r="I437" s="75"/>
      <c r="J437" s="75"/>
      <c r="K437" s="75"/>
      <c r="L437" s="75"/>
      <c r="M437" s="75"/>
      <c r="N437" s="75"/>
      <c r="O437" s="75"/>
      <c r="P437" s="75"/>
      <c r="Q437" s="75"/>
      <c r="R437" s="75"/>
      <c r="S437" s="75"/>
      <c r="T437" s="75"/>
      <c r="U437" s="75"/>
      <c r="V437" s="77"/>
      <c r="W437" s="75"/>
      <c r="X437" s="75"/>
      <c r="Y437" s="75"/>
      <c r="Z437" s="78"/>
      <c r="AA437" s="78"/>
      <c r="AB437" s="75"/>
      <c r="AJ437" s="72"/>
    </row>
    <row r="438" spans="1:36" s="69" customFormat="1" x14ac:dyDescent="0.25">
      <c r="A438" s="75"/>
      <c r="B438" s="75"/>
      <c r="C438" s="76"/>
      <c r="D438" s="76"/>
      <c r="E438" s="75"/>
      <c r="F438" s="75"/>
      <c r="G438" s="75"/>
      <c r="H438" s="75"/>
      <c r="I438" s="75"/>
      <c r="J438" s="75"/>
      <c r="K438" s="75"/>
      <c r="L438" s="75"/>
      <c r="M438" s="75"/>
      <c r="N438" s="75"/>
      <c r="O438" s="75"/>
      <c r="P438" s="75"/>
      <c r="Q438" s="75"/>
      <c r="R438" s="75"/>
      <c r="S438" s="75"/>
      <c r="T438" s="75"/>
      <c r="U438" s="75"/>
      <c r="V438" s="77"/>
      <c r="W438" s="75"/>
      <c r="X438" s="75"/>
      <c r="Y438" s="75"/>
      <c r="Z438" s="78"/>
      <c r="AA438" s="78"/>
      <c r="AB438" s="75"/>
      <c r="AJ438" s="72"/>
    </row>
    <row r="439" spans="1:36" s="69" customFormat="1" x14ac:dyDescent="0.25">
      <c r="A439" s="75"/>
      <c r="B439" s="75"/>
      <c r="C439" s="76"/>
      <c r="D439" s="76"/>
      <c r="E439" s="75"/>
      <c r="F439" s="75"/>
      <c r="G439" s="75"/>
      <c r="H439" s="75"/>
      <c r="I439" s="75"/>
      <c r="J439" s="75"/>
      <c r="K439" s="75"/>
      <c r="L439" s="75"/>
      <c r="M439" s="75"/>
      <c r="N439" s="75"/>
      <c r="O439" s="75"/>
      <c r="P439" s="75"/>
      <c r="Q439" s="75"/>
      <c r="R439" s="75"/>
      <c r="S439" s="75"/>
      <c r="T439" s="75"/>
      <c r="U439" s="75"/>
      <c r="V439" s="77"/>
      <c r="W439" s="75"/>
      <c r="X439" s="75"/>
      <c r="Y439" s="75"/>
      <c r="Z439" s="78"/>
      <c r="AA439" s="78"/>
      <c r="AB439" s="75"/>
      <c r="AJ439" s="72"/>
    </row>
    <row r="440" spans="1:36" s="69" customFormat="1" x14ac:dyDescent="0.25">
      <c r="A440" s="75"/>
      <c r="B440" s="75"/>
      <c r="C440" s="76"/>
      <c r="D440" s="76"/>
      <c r="E440" s="75"/>
      <c r="F440" s="75"/>
      <c r="G440" s="75"/>
      <c r="H440" s="75"/>
      <c r="I440" s="75"/>
      <c r="J440" s="75"/>
      <c r="K440" s="75"/>
      <c r="L440" s="75"/>
      <c r="M440" s="75"/>
      <c r="N440" s="75"/>
      <c r="O440" s="75"/>
      <c r="P440" s="75"/>
      <c r="Q440" s="75"/>
      <c r="R440" s="75"/>
      <c r="S440" s="75"/>
      <c r="T440" s="75"/>
      <c r="U440" s="75"/>
      <c r="V440" s="77"/>
      <c r="W440" s="75"/>
      <c r="X440" s="75"/>
      <c r="Y440" s="75"/>
      <c r="Z440" s="78"/>
      <c r="AA440" s="78"/>
      <c r="AB440" s="75"/>
      <c r="AJ440" s="72"/>
    </row>
    <row r="441" spans="1:36" s="69" customFormat="1" x14ac:dyDescent="0.25">
      <c r="A441" s="75"/>
      <c r="B441" s="75"/>
      <c r="C441" s="76"/>
      <c r="D441" s="76"/>
      <c r="E441" s="75"/>
      <c r="F441" s="75"/>
      <c r="G441" s="75"/>
      <c r="H441" s="75"/>
      <c r="I441" s="75"/>
      <c r="J441" s="75"/>
      <c r="K441" s="75"/>
      <c r="L441" s="75"/>
      <c r="M441" s="75"/>
      <c r="N441" s="75"/>
      <c r="O441" s="75"/>
      <c r="P441" s="75"/>
      <c r="Q441" s="75"/>
      <c r="R441" s="75"/>
      <c r="S441" s="75"/>
      <c r="T441" s="75"/>
      <c r="U441" s="75"/>
      <c r="V441" s="77"/>
      <c r="W441" s="75"/>
      <c r="X441" s="75"/>
      <c r="Y441" s="75"/>
      <c r="Z441" s="78"/>
      <c r="AA441" s="78"/>
      <c r="AB441" s="75"/>
      <c r="AJ441" s="72"/>
    </row>
    <row r="442" spans="1:36" s="69" customFormat="1" x14ac:dyDescent="0.25">
      <c r="A442" s="75"/>
      <c r="B442" s="75"/>
      <c r="C442" s="76"/>
      <c r="D442" s="76"/>
      <c r="E442" s="75"/>
      <c r="F442" s="75"/>
      <c r="G442" s="75"/>
      <c r="H442" s="75"/>
      <c r="I442" s="75"/>
      <c r="J442" s="75"/>
      <c r="K442" s="75"/>
      <c r="L442" s="75"/>
      <c r="M442" s="75"/>
      <c r="N442" s="75"/>
      <c r="O442" s="75"/>
      <c r="P442" s="75"/>
      <c r="Q442" s="75"/>
      <c r="R442" s="75"/>
      <c r="S442" s="75"/>
      <c r="T442" s="75"/>
      <c r="U442" s="75"/>
      <c r="V442" s="77"/>
      <c r="W442" s="75"/>
      <c r="X442" s="75"/>
      <c r="Y442" s="75"/>
      <c r="Z442" s="78"/>
      <c r="AA442" s="78"/>
      <c r="AB442" s="75"/>
      <c r="AJ442" s="72"/>
    </row>
    <row r="443" spans="1:36" s="69" customFormat="1" x14ac:dyDescent="0.25">
      <c r="A443" s="75"/>
      <c r="B443" s="75"/>
      <c r="C443" s="76"/>
      <c r="D443" s="76"/>
      <c r="E443" s="75"/>
      <c r="F443" s="75"/>
      <c r="G443" s="75"/>
      <c r="H443" s="75"/>
      <c r="I443" s="75"/>
      <c r="J443" s="75"/>
      <c r="K443" s="75"/>
      <c r="L443" s="75"/>
      <c r="M443" s="75"/>
      <c r="N443" s="75"/>
      <c r="O443" s="75"/>
      <c r="P443" s="75"/>
      <c r="Q443" s="75"/>
      <c r="R443" s="75"/>
      <c r="S443" s="75"/>
      <c r="T443" s="75"/>
      <c r="U443" s="75"/>
      <c r="V443" s="77"/>
      <c r="W443" s="75"/>
      <c r="X443" s="75"/>
      <c r="Y443" s="75"/>
      <c r="Z443" s="78"/>
      <c r="AA443" s="78"/>
      <c r="AB443" s="75"/>
      <c r="AJ443" s="72"/>
    </row>
    <row r="444" spans="1:36" s="69" customFormat="1" x14ac:dyDescent="0.25">
      <c r="A444" s="75"/>
      <c r="B444" s="75"/>
      <c r="C444" s="76"/>
      <c r="D444" s="76"/>
      <c r="E444" s="75"/>
      <c r="F444" s="75"/>
      <c r="G444" s="75"/>
      <c r="H444" s="75"/>
      <c r="I444" s="75"/>
      <c r="J444" s="75"/>
      <c r="K444" s="75"/>
      <c r="L444" s="75"/>
      <c r="M444" s="75"/>
      <c r="N444" s="75"/>
      <c r="O444" s="75"/>
      <c r="P444" s="75"/>
      <c r="Q444" s="75"/>
      <c r="R444" s="75"/>
      <c r="S444" s="75"/>
      <c r="T444" s="75"/>
      <c r="U444" s="75"/>
      <c r="V444" s="77"/>
      <c r="W444" s="75"/>
      <c r="X444" s="75"/>
      <c r="Y444" s="75"/>
      <c r="Z444" s="78"/>
      <c r="AA444" s="78"/>
      <c r="AB444" s="75"/>
      <c r="AJ444" s="72"/>
    </row>
    <row r="445" spans="1:36" s="69" customFormat="1" x14ac:dyDescent="0.25">
      <c r="A445" s="75"/>
      <c r="B445" s="75"/>
      <c r="C445" s="76"/>
      <c r="D445" s="76"/>
      <c r="E445" s="75"/>
      <c r="F445" s="75"/>
      <c r="G445" s="75"/>
      <c r="H445" s="75"/>
      <c r="I445" s="75"/>
      <c r="J445" s="75"/>
      <c r="K445" s="75"/>
      <c r="L445" s="75"/>
      <c r="M445" s="75"/>
      <c r="N445" s="75"/>
      <c r="O445" s="75"/>
      <c r="P445" s="75"/>
      <c r="Q445" s="75"/>
      <c r="R445" s="75"/>
      <c r="S445" s="75"/>
      <c r="T445" s="75"/>
      <c r="U445" s="75"/>
      <c r="V445" s="77"/>
      <c r="W445" s="75"/>
      <c r="X445" s="75"/>
      <c r="Y445" s="75"/>
      <c r="Z445" s="78"/>
      <c r="AA445" s="78"/>
      <c r="AB445" s="75"/>
      <c r="AJ445" s="72"/>
    </row>
    <row r="446" spans="1:36" s="69" customFormat="1" x14ac:dyDescent="0.25">
      <c r="A446" s="75"/>
      <c r="B446" s="75"/>
      <c r="C446" s="76"/>
      <c r="D446" s="76"/>
      <c r="E446" s="75"/>
      <c r="F446" s="75"/>
      <c r="G446" s="75"/>
      <c r="H446" s="75"/>
      <c r="I446" s="75"/>
      <c r="J446" s="75"/>
      <c r="K446" s="75"/>
      <c r="L446" s="75"/>
      <c r="M446" s="75"/>
      <c r="N446" s="75"/>
      <c r="O446" s="75"/>
      <c r="P446" s="75"/>
      <c r="Q446" s="75"/>
      <c r="R446" s="75"/>
      <c r="S446" s="75"/>
      <c r="T446" s="75"/>
      <c r="U446" s="75"/>
      <c r="V446" s="77"/>
      <c r="W446" s="75"/>
      <c r="X446" s="75"/>
      <c r="Y446" s="75"/>
      <c r="Z446" s="78"/>
      <c r="AA446" s="78"/>
      <c r="AB446" s="75"/>
      <c r="AJ446" s="72"/>
    </row>
    <row r="447" spans="1:36" s="69" customFormat="1" x14ac:dyDescent="0.25">
      <c r="A447" s="75"/>
      <c r="B447" s="75"/>
      <c r="C447" s="76"/>
      <c r="D447" s="76"/>
      <c r="E447" s="75"/>
      <c r="F447" s="75"/>
      <c r="G447" s="75"/>
      <c r="H447" s="75"/>
      <c r="I447" s="75"/>
      <c r="J447" s="75"/>
      <c r="K447" s="75"/>
      <c r="L447" s="75"/>
      <c r="M447" s="75"/>
      <c r="N447" s="75"/>
      <c r="O447" s="75"/>
      <c r="P447" s="75"/>
      <c r="Q447" s="75"/>
      <c r="R447" s="75"/>
      <c r="S447" s="75"/>
      <c r="T447" s="75"/>
      <c r="U447" s="75"/>
      <c r="V447" s="77"/>
      <c r="W447" s="75"/>
      <c r="X447" s="75"/>
      <c r="Y447" s="75"/>
      <c r="Z447" s="78"/>
      <c r="AA447" s="78"/>
      <c r="AB447" s="75"/>
      <c r="AJ447" s="72"/>
    </row>
    <row r="448" spans="1:36" s="69" customFormat="1" x14ac:dyDescent="0.25">
      <c r="A448" s="75"/>
      <c r="B448" s="75"/>
      <c r="C448" s="76"/>
      <c r="D448" s="76"/>
      <c r="E448" s="75"/>
      <c r="F448" s="75"/>
      <c r="G448" s="75"/>
      <c r="H448" s="75"/>
      <c r="I448" s="75"/>
      <c r="J448" s="75"/>
      <c r="K448" s="75"/>
      <c r="L448" s="75"/>
      <c r="M448" s="75"/>
      <c r="N448" s="75"/>
      <c r="O448" s="75"/>
      <c r="P448" s="75"/>
      <c r="Q448" s="75"/>
      <c r="R448" s="75"/>
      <c r="S448" s="75"/>
      <c r="T448" s="75"/>
      <c r="U448" s="75"/>
      <c r="V448" s="77"/>
      <c r="W448" s="75"/>
      <c r="X448" s="75"/>
      <c r="Y448" s="75"/>
      <c r="Z448" s="78"/>
      <c r="AA448" s="78"/>
      <c r="AB448" s="75"/>
      <c r="AJ448" s="72"/>
    </row>
    <row r="449" spans="1:36" s="69" customFormat="1" x14ac:dyDescent="0.25">
      <c r="A449" s="75"/>
      <c r="B449" s="75"/>
      <c r="C449" s="76"/>
      <c r="D449" s="76"/>
      <c r="E449" s="75"/>
      <c r="F449" s="75"/>
      <c r="G449" s="75"/>
      <c r="H449" s="75"/>
      <c r="I449" s="75"/>
      <c r="J449" s="75"/>
      <c r="K449" s="75"/>
      <c r="L449" s="75"/>
      <c r="M449" s="75"/>
      <c r="N449" s="75"/>
      <c r="O449" s="75"/>
      <c r="P449" s="75"/>
      <c r="Q449" s="75"/>
      <c r="R449" s="75"/>
      <c r="S449" s="75"/>
      <c r="T449" s="75"/>
      <c r="U449" s="75"/>
      <c r="V449" s="77"/>
      <c r="W449" s="75"/>
      <c r="X449" s="75"/>
      <c r="Y449" s="75"/>
      <c r="Z449" s="78"/>
      <c r="AA449" s="78"/>
      <c r="AB449" s="75"/>
      <c r="AJ449" s="72"/>
    </row>
    <row r="450" spans="1:36" s="69" customFormat="1" x14ac:dyDescent="0.25">
      <c r="A450" s="75"/>
      <c r="B450" s="75"/>
      <c r="C450" s="76"/>
      <c r="D450" s="76"/>
      <c r="E450" s="75"/>
      <c r="F450" s="75"/>
      <c r="G450" s="75"/>
      <c r="H450" s="75"/>
      <c r="I450" s="75"/>
      <c r="J450" s="75"/>
      <c r="K450" s="75"/>
      <c r="L450" s="75"/>
      <c r="M450" s="75"/>
      <c r="N450" s="75"/>
      <c r="O450" s="75"/>
      <c r="P450" s="75"/>
      <c r="Q450" s="75"/>
      <c r="R450" s="75"/>
      <c r="S450" s="75"/>
      <c r="T450" s="75"/>
      <c r="U450" s="75"/>
      <c r="V450" s="77"/>
      <c r="W450" s="75"/>
      <c r="X450" s="75"/>
      <c r="Y450" s="75"/>
      <c r="Z450" s="78"/>
      <c r="AA450" s="78"/>
      <c r="AB450" s="75"/>
      <c r="AJ450" s="72"/>
    </row>
    <row r="451" spans="1:36" s="69" customFormat="1" x14ac:dyDescent="0.25">
      <c r="A451" s="75"/>
      <c r="B451" s="75"/>
      <c r="C451" s="76"/>
      <c r="D451" s="76"/>
      <c r="E451" s="75"/>
      <c r="F451" s="75"/>
      <c r="G451" s="75"/>
      <c r="H451" s="75"/>
      <c r="I451" s="75"/>
      <c r="J451" s="75"/>
      <c r="K451" s="75"/>
      <c r="L451" s="75"/>
      <c r="M451" s="75"/>
      <c r="N451" s="75"/>
      <c r="O451" s="75"/>
      <c r="P451" s="75"/>
      <c r="Q451" s="75"/>
      <c r="R451" s="75"/>
      <c r="S451" s="75"/>
      <c r="T451" s="75"/>
      <c r="U451" s="75"/>
      <c r="V451" s="77"/>
      <c r="W451" s="75"/>
      <c r="X451" s="75"/>
      <c r="Y451" s="75"/>
      <c r="Z451" s="78"/>
      <c r="AA451" s="78"/>
      <c r="AB451" s="75"/>
      <c r="AJ451" s="72"/>
    </row>
    <row r="452" spans="1:36" s="69" customFormat="1" x14ac:dyDescent="0.25">
      <c r="A452" s="75"/>
      <c r="B452" s="75"/>
      <c r="C452" s="76"/>
      <c r="D452" s="76"/>
      <c r="E452" s="75"/>
      <c r="F452" s="75"/>
      <c r="G452" s="75"/>
      <c r="H452" s="75"/>
      <c r="I452" s="75"/>
      <c r="J452" s="75"/>
      <c r="K452" s="75"/>
      <c r="L452" s="75"/>
      <c r="M452" s="75"/>
      <c r="N452" s="75"/>
      <c r="O452" s="75"/>
      <c r="P452" s="75"/>
      <c r="Q452" s="75"/>
      <c r="R452" s="75"/>
      <c r="S452" s="75"/>
      <c r="T452" s="75"/>
      <c r="U452" s="75"/>
      <c r="V452" s="77"/>
      <c r="W452" s="75"/>
      <c r="X452" s="75"/>
      <c r="Y452" s="75"/>
      <c r="Z452" s="78"/>
      <c r="AA452" s="78"/>
      <c r="AB452" s="75"/>
      <c r="AJ452" s="72"/>
    </row>
    <row r="453" spans="1:36" s="69" customFormat="1" x14ac:dyDescent="0.25">
      <c r="A453" s="75"/>
      <c r="B453" s="75"/>
      <c r="C453" s="76"/>
      <c r="D453" s="76"/>
      <c r="E453" s="75"/>
      <c r="F453" s="75"/>
      <c r="G453" s="75"/>
      <c r="H453" s="75"/>
      <c r="I453" s="75"/>
      <c r="J453" s="75"/>
      <c r="K453" s="75"/>
      <c r="L453" s="75"/>
      <c r="M453" s="75"/>
      <c r="N453" s="75"/>
      <c r="O453" s="75"/>
      <c r="P453" s="75"/>
      <c r="Q453" s="75"/>
      <c r="R453" s="75"/>
      <c r="S453" s="75"/>
      <c r="T453" s="75"/>
      <c r="U453" s="75"/>
      <c r="V453" s="77"/>
      <c r="W453" s="75"/>
      <c r="X453" s="75"/>
      <c r="Y453" s="75"/>
      <c r="Z453" s="78"/>
      <c r="AA453" s="78"/>
      <c r="AB453" s="75"/>
      <c r="AJ453" s="72"/>
    </row>
    <row r="454" spans="1:36" s="69" customFormat="1" x14ac:dyDescent="0.25">
      <c r="A454" s="75"/>
      <c r="B454" s="75"/>
      <c r="C454" s="76"/>
      <c r="D454" s="76"/>
      <c r="E454" s="75"/>
      <c r="F454" s="75"/>
      <c r="G454" s="75"/>
      <c r="H454" s="75"/>
      <c r="I454" s="75"/>
      <c r="J454" s="75"/>
      <c r="K454" s="75"/>
      <c r="L454" s="75"/>
      <c r="M454" s="75"/>
      <c r="N454" s="75"/>
      <c r="O454" s="75"/>
      <c r="P454" s="75"/>
      <c r="Q454" s="75"/>
      <c r="R454" s="75"/>
      <c r="S454" s="75"/>
      <c r="T454" s="75"/>
      <c r="U454" s="75"/>
      <c r="V454" s="77"/>
      <c r="W454" s="75"/>
      <c r="X454" s="75"/>
      <c r="Y454" s="75"/>
      <c r="Z454" s="78"/>
      <c r="AA454" s="78"/>
      <c r="AB454" s="75"/>
      <c r="AJ454" s="72"/>
    </row>
    <row r="455" spans="1:36" s="69" customFormat="1" x14ac:dyDescent="0.25">
      <c r="A455" s="75"/>
      <c r="B455" s="75"/>
      <c r="C455" s="76"/>
      <c r="D455" s="76"/>
      <c r="E455" s="75"/>
      <c r="F455" s="75"/>
      <c r="G455" s="75"/>
      <c r="H455" s="75"/>
      <c r="I455" s="75"/>
      <c r="J455" s="75"/>
      <c r="K455" s="75"/>
      <c r="L455" s="75"/>
      <c r="M455" s="75"/>
      <c r="N455" s="75"/>
      <c r="O455" s="75"/>
      <c r="P455" s="75"/>
      <c r="Q455" s="75"/>
      <c r="R455" s="75"/>
      <c r="S455" s="75"/>
      <c r="T455" s="75"/>
      <c r="U455" s="75"/>
      <c r="V455" s="77"/>
      <c r="W455" s="75"/>
      <c r="X455" s="75"/>
      <c r="Y455" s="75"/>
      <c r="Z455" s="78"/>
      <c r="AA455" s="78"/>
      <c r="AB455" s="75"/>
      <c r="AJ455" s="72"/>
    </row>
    <row r="456" spans="1:36" s="69" customFormat="1" x14ac:dyDescent="0.25">
      <c r="A456" s="75"/>
      <c r="B456" s="75"/>
      <c r="C456" s="76"/>
      <c r="D456" s="76"/>
      <c r="E456" s="75"/>
      <c r="F456" s="75"/>
      <c r="G456" s="75"/>
      <c r="H456" s="75"/>
      <c r="I456" s="75"/>
      <c r="J456" s="75"/>
      <c r="K456" s="75"/>
      <c r="L456" s="75"/>
      <c r="M456" s="75"/>
      <c r="N456" s="75"/>
      <c r="O456" s="75"/>
      <c r="P456" s="75"/>
      <c r="Q456" s="75"/>
      <c r="R456" s="75"/>
      <c r="S456" s="75"/>
      <c r="T456" s="75"/>
      <c r="U456" s="75"/>
      <c r="V456" s="77"/>
      <c r="W456" s="75"/>
      <c r="X456" s="75"/>
      <c r="Y456" s="75"/>
      <c r="Z456" s="78"/>
      <c r="AA456" s="78"/>
      <c r="AB456" s="75"/>
      <c r="AJ456" s="72"/>
    </row>
    <row r="457" spans="1:36" s="69" customFormat="1" x14ac:dyDescent="0.25">
      <c r="A457" s="75"/>
      <c r="B457" s="75"/>
      <c r="C457" s="76"/>
      <c r="D457" s="76"/>
      <c r="E457" s="75"/>
      <c r="F457" s="75"/>
      <c r="G457" s="75"/>
      <c r="H457" s="75"/>
      <c r="I457" s="75"/>
      <c r="J457" s="75"/>
      <c r="K457" s="75"/>
      <c r="L457" s="75"/>
      <c r="M457" s="75"/>
      <c r="N457" s="75"/>
      <c r="O457" s="75"/>
      <c r="P457" s="75"/>
      <c r="Q457" s="75"/>
      <c r="R457" s="75"/>
      <c r="S457" s="75"/>
      <c r="T457" s="75"/>
      <c r="U457" s="75"/>
      <c r="V457" s="77"/>
      <c r="W457" s="75"/>
      <c r="X457" s="75"/>
      <c r="Y457" s="75"/>
      <c r="Z457" s="78"/>
      <c r="AA457" s="78"/>
      <c r="AB457" s="75"/>
      <c r="AJ457" s="72"/>
    </row>
    <row r="458" spans="1:36" s="69" customFormat="1" x14ac:dyDescent="0.25">
      <c r="A458" s="75"/>
      <c r="B458" s="75"/>
      <c r="C458" s="76"/>
      <c r="D458" s="76"/>
      <c r="E458" s="75"/>
      <c r="F458" s="75"/>
      <c r="G458" s="75"/>
      <c r="H458" s="75"/>
      <c r="I458" s="75"/>
      <c r="J458" s="75"/>
      <c r="K458" s="75"/>
      <c r="L458" s="75"/>
      <c r="M458" s="75"/>
      <c r="N458" s="75"/>
      <c r="O458" s="75"/>
      <c r="P458" s="75"/>
      <c r="Q458" s="75"/>
      <c r="R458" s="75"/>
      <c r="S458" s="75"/>
      <c r="T458" s="75"/>
      <c r="U458" s="75"/>
      <c r="V458" s="77"/>
      <c r="W458" s="75"/>
      <c r="X458" s="75"/>
      <c r="Y458" s="75"/>
      <c r="Z458" s="78"/>
      <c r="AA458" s="78"/>
      <c r="AB458" s="75"/>
      <c r="AJ458" s="72"/>
    </row>
    <row r="459" spans="1:36" s="69" customFormat="1" x14ac:dyDescent="0.25">
      <c r="A459" s="75"/>
      <c r="B459" s="75"/>
      <c r="C459" s="76"/>
      <c r="D459" s="76"/>
      <c r="E459" s="75"/>
      <c r="F459" s="75"/>
      <c r="G459" s="75"/>
      <c r="H459" s="75"/>
      <c r="I459" s="75"/>
      <c r="J459" s="75"/>
      <c r="K459" s="75"/>
      <c r="L459" s="75"/>
      <c r="M459" s="75"/>
      <c r="N459" s="75"/>
      <c r="O459" s="75"/>
      <c r="P459" s="75"/>
      <c r="Q459" s="75"/>
      <c r="R459" s="75"/>
      <c r="S459" s="75"/>
      <c r="T459" s="75"/>
      <c r="U459" s="75"/>
      <c r="V459" s="77"/>
      <c r="W459" s="75"/>
      <c r="X459" s="75"/>
      <c r="Y459" s="75"/>
      <c r="Z459" s="78"/>
      <c r="AA459" s="78"/>
      <c r="AB459" s="75"/>
      <c r="AJ459" s="72"/>
    </row>
    <row r="460" spans="1:36" s="69" customFormat="1" x14ac:dyDescent="0.25">
      <c r="A460" s="75"/>
      <c r="B460" s="75"/>
      <c r="C460" s="76"/>
      <c r="D460" s="76"/>
      <c r="E460" s="75"/>
      <c r="F460" s="75"/>
      <c r="G460" s="75"/>
      <c r="H460" s="75"/>
      <c r="I460" s="75"/>
      <c r="J460" s="75"/>
      <c r="K460" s="75"/>
      <c r="L460" s="75"/>
      <c r="M460" s="75"/>
      <c r="N460" s="75"/>
      <c r="O460" s="75"/>
      <c r="P460" s="75"/>
      <c r="Q460" s="75"/>
      <c r="R460" s="75"/>
      <c r="S460" s="75"/>
      <c r="T460" s="75"/>
      <c r="U460" s="75"/>
      <c r="V460" s="77"/>
      <c r="W460" s="75"/>
      <c r="X460" s="75"/>
      <c r="Y460" s="75"/>
      <c r="Z460" s="78"/>
      <c r="AA460" s="78"/>
      <c r="AB460" s="75"/>
      <c r="AJ460" s="72"/>
    </row>
    <row r="461" spans="1:36" s="69" customFormat="1" x14ac:dyDescent="0.25">
      <c r="A461" s="75"/>
      <c r="B461" s="75"/>
      <c r="C461" s="76"/>
      <c r="D461" s="76"/>
      <c r="E461" s="75"/>
      <c r="F461" s="75"/>
      <c r="G461" s="75"/>
      <c r="H461" s="75"/>
      <c r="I461" s="75"/>
      <c r="J461" s="75"/>
      <c r="K461" s="75"/>
      <c r="L461" s="75"/>
      <c r="M461" s="75"/>
      <c r="N461" s="75"/>
      <c r="O461" s="75"/>
      <c r="P461" s="75"/>
      <c r="Q461" s="75"/>
      <c r="R461" s="75"/>
      <c r="S461" s="75"/>
      <c r="T461" s="75"/>
      <c r="U461" s="75"/>
      <c r="V461" s="77"/>
      <c r="W461" s="75"/>
      <c r="X461" s="75"/>
      <c r="Y461" s="75"/>
      <c r="Z461" s="78"/>
      <c r="AA461" s="78"/>
      <c r="AB461" s="75"/>
      <c r="AJ461" s="72"/>
    </row>
    <row r="462" spans="1:36" s="69" customFormat="1" x14ac:dyDescent="0.25">
      <c r="A462" s="75"/>
      <c r="B462" s="75"/>
      <c r="C462" s="76"/>
      <c r="D462" s="76"/>
      <c r="E462" s="75"/>
      <c r="F462" s="75"/>
      <c r="G462" s="75"/>
      <c r="H462" s="75"/>
      <c r="I462" s="75"/>
      <c r="J462" s="75"/>
      <c r="K462" s="75"/>
      <c r="L462" s="75"/>
      <c r="M462" s="75"/>
      <c r="N462" s="75"/>
      <c r="O462" s="75"/>
      <c r="P462" s="75"/>
      <c r="Q462" s="75"/>
      <c r="R462" s="75"/>
      <c r="S462" s="75"/>
      <c r="T462" s="75"/>
      <c r="U462" s="75"/>
      <c r="V462" s="77"/>
      <c r="W462" s="75"/>
      <c r="X462" s="75"/>
      <c r="Y462" s="75"/>
      <c r="Z462" s="78"/>
      <c r="AA462" s="78"/>
      <c r="AB462" s="75"/>
      <c r="AJ462" s="72"/>
    </row>
    <row r="463" spans="1:36" s="69" customFormat="1" x14ac:dyDescent="0.25">
      <c r="A463" s="75"/>
      <c r="B463" s="75"/>
      <c r="C463" s="76"/>
      <c r="D463" s="76"/>
      <c r="E463" s="75"/>
      <c r="F463" s="75"/>
      <c r="G463" s="75"/>
      <c r="H463" s="75"/>
      <c r="I463" s="75"/>
      <c r="J463" s="75"/>
      <c r="K463" s="75"/>
      <c r="L463" s="75"/>
      <c r="M463" s="75"/>
      <c r="N463" s="75"/>
      <c r="O463" s="75"/>
      <c r="P463" s="75"/>
      <c r="Q463" s="75"/>
      <c r="R463" s="75"/>
      <c r="S463" s="75"/>
      <c r="T463" s="75"/>
      <c r="U463" s="75"/>
      <c r="V463" s="77"/>
      <c r="W463" s="75"/>
      <c r="X463" s="75"/>
      <c r="Y463" s="75"/>
      <c r="Z463" s="78"/>
      <c r="AA463" s="78"/>
      <c r="AB463" s="75"/>
      <c r="AJ463" s="72"/>
    </row>
    <row r="464" spans="1:36" s="69" customFormat="1" x14ac:dyDescent="0.25">
      <c r="A464" s="75"/>
      <c r="B464" s="75"/>
      <c r="C464" s="76"/>
      <c r="D464" s="76"/>
      <c r="E464" s="75"/>
      <c r="F464" s="75"/>
      <c r="G464" s="75"/>
      <c r="H464" s="75"/>
      <c r="I464" s="75"/>
      <c r="J464" s="75"/>
      <c r="K464" s="75"/>
      <c r="L464" s="75"/>
      <c r="M464" s="75"/>
      <c r="N464" s="75"/>
      <c r="O464" s="75"/>
      <c r="P464" s="75"/>
      <c r="Q464" s="75"/>
      <c r="R464" s="75"/>
      <c r="S464" s="75"/>
      <c r="T464" s="75"/>
      <c r="U464" s="75"/>
      <c r="V464" s="77"/>
      <c r="W464" s="75"/>
      <c r="X464" s="75"/>
      <c r="Y464" s="75"/>
      <c r="Z464" s="78"/>
      <c r="AA464" s="78"/>
      <c r="AB464" s="75"/>
      <c r="AJ464" s="72"/>
    </row>
    <row r="465" spans="1:36" s="69" customFormat="1" x14ac:dyDescent="0.25">
      <c r="A465" s="75"/>
      <c r="B465" s="75"/>
      <c r="C465" s="76"/>
      <c r="D465" s="76"/>
      <c r="E465" s="75"/>
      <c r="F465" s="75"/>
      <c r="G465" s="75"/>
      <c r="H465" s="75"/>
      <c r="I465" s="75"/>
      <c r="J465" s="75"/>
      <c r="K465" s="75"/>
      <c r="L465" s="75"/>
      <c r="M465" s="75"/>
      <c r="N465" s="75"/>
      <c r="O465" s="75"/>
      <c r="P465" s="75"/>
      <c r="Q465" s="75"/>
      <c r="R465" s="75"/>
      <c r="S465" s="75"/>
      <c r="T465" s="75"/>
      <c r="U465" s="75"/>
      <c r="V465" s="77"/>
      <c r="W465" s="75"/>
      <c r="X465" s="75"/>
      <c r="Y465" s="75"/>
      <c r="Z465" s="78"/>
      <c r="AA465" s="78"/>
      <c r="AB465" s="75"/>
      <c r="AJ465" s="72"/>
    </row>
    <row r="466" spans="1:36" s="69" customFormat="1" x14ac:dyDescent="0.25">
      <c r="A466" s="75"/>
      <c r="B466" s="75"/>
      <c r="C466" s="76"/>
      <c r="D466" s="76"/>
      <c r="E466" s="75"/>
      <c r="F466" s="75"/>
      <c r="G466" s="75"/>
      <c r="H466" s="75"/>
      <c r="I466" s="75"/>
      <c r="J466" s="75"/>
      <c r="K466" s="75"/>
      <c r="L466" s="75"/>
      <c r="M466" s="75"/>
      <c r="N466" s="75"/>
      <c r="O466" s="75"/>
      <c r="P466" s="75"/>
      <c r="Q466" s="75"/>
      <c r="R466" s="75"/>
      <c r="S466" s="75"/>
      <c r="T466" s="75"/>
      <c r="U466" s="75"/>
      <c r="V466" s="77"/>
      <c r="W466" s="75"/>
      <c r="X466" s="75"/>
      <c r="Y466" s="75"/>
      <c r="Z466" s="78"/>
      <c r="AA466" s="78"/>
      <c r="AB466" s="75"/>
      <c r="AJ466" s="72"/>
    </row>
    <row r="467" spans="1:36" s="69" customFormat="1" x14ac:dyDescent="0.25">
      <c r="A467" s="75"/>
      <c r="B467" s="75"/>
      <c r="C467" s="76"/>
      <c r="D467" s="76"/>
      <c r="E467" s="75"/>
      <c r="F467" s="75"/>
      <c r="G467" s="75"/>
      <c r="H467" s="75"/>
      <c r="I467" s="75"/>
      <c r="J467" s="75"/>
      <c r="K467" s="75"/>
      <c r="L467" s="75"/>
      <c r="M467" s="75"/>
      <c r="N467" s="75"/>
      <c r="O467" s="75"/>
      <c r="P467" s="75"/>
      <c r="Q467" s="75"/>
      <c r="R467" s="75"/>
      <c r="S467" s="75"/>
      <c r="T467" s="75"/>
      <c r="U467" s="75"/>
      <c r="V467" s="77"/>
      <c r="W467" s="75"/>
      <c r="X467" s="75"/>
      <c r="Y467" s="75"/>
      <c r="Z467" s="78"/>
      <c r="AA467" s="78"/>
      <c r="AB467" s="75"/>
      <c r="AJ467" s="72"/>
    </row>
    <row r="468" spans="1:36" s="69" customFormat="1" x14ac:dyDescent="0.25">
      <c r="A468" s="75"/>
      <c r="B468" s="75"/>
      <c r="C468" s="76"/>
      <c r="D468" s="76"/>
      <c r="E468" s="75"/>
      <c r="F468" s="75"/>
      <c r="G468" s="75"/>
      <c r="H468" s="75"/>
      <c r="I468" s="75"/>
      <c r="J468" s="75"/>
      <c r="K468" s="75"/>
      <c r="L468" s="75"/>
      <c r="M468" s="75"/>
      <c r="N468" s="75"/>
      <c r="O468" s="75"/>
      <c r="P468" s="75"/>
      <c r="Q468" s="75"/>
      <c r="R468" s="75"/>
      <c r="S468" s="75"/>
      <c r="T468" s="75"/>
      <c r="U468" s="75"/>
      <c r="V468" s="77"/>
      <c r="W468" s="75"/>
      <c r="X468" s="75"/>
      <c r="Y468" s="75"/>
      <c r="Z468" s="78"/>
      <c r="AA468" s="78"/>
      <c r="AB468" s="75"/>
      <c r="AJ468" s="72"/>
    </row>
    <row r="469" spans="1:36" s="69" customFormat="1" x14ac:dyDescent="0.25">
      <c r="A469" s="75"/>
      <c r="B469" s="75"/>
      <c r="C469" s="76"/>
      <c r="D469" s="76"/>
      <c r="E469" s="75"/>
      <c r="F469" s="75"/>
      <c r="G469" s="75"/>
      <c r="H469" s="75"/>
      <c r="I469" s="75"/>
      <c r="J469" s="75"/>
      <c r="K469" s="75"/>
      <c r="L469" s="75"/>
      <c r="M469" s="75"/>
      <c r="N469" s="75"/>
      <c r="O469" s="75"/>
      <c r="P469" s="75"/>
      <c r="Q469" s="75"/>
      <c r="R469" s="75"/>
      <c r="S469" s="75"/>
      <c r="T469" s="75"/>
      <c r="U469" s="75"/>
      <c r="V469" s="77"/>
      <c r="W469" s="75"/>
      <c r="X469" s="75"/>
      <c r="Y469" s="75"/>
      <c r="Z469" s="78"/>
      <c r="AA469" s="78"/>
      <c r="AB469" s="75"/>
      <c r="AJ469" s="72"/>
    </row>
    <row r="470" spans="1:36" s="69" customFormat="1" x14ac:dyDescent="0.25">
      <c r="A470" s="75"/>
      <c r="B470" s="75"/>
      <c r="C470" s="76"/>
      <c r="D470" s="76"/>
      <c r="E470" s="75"/>
      <c r="F470" s="75"/>
      <c r="G470" s="75"/>
      <c r="H470" s="75"/>
      <c r="I470" s="75"/>
      <c r="J470" s="75"/>
      <c r="K470" s="75"/>
      <c r="L470" s="75"/>
      <c r="M470" s="75"/>
      <c r="N470" s="75"/>
      <c r="O470" s="75"/>
      <c r="P470" s="75"/>
      <c r="Q470" s="75"/>
      <c r="R470" s="75"/>
      <c r="S470" s="75"/>
      <c r="T470" s="75"/>
      <c r="U470" s="75"/>
      <c r="V470" s="77"/>
      <c r="W470" s="75"/>
      <c r="X470" s="75"/>
      <c r="Y470" s="75"/>
      <c r="Z470" s="78"/>
      <c r="AA470" s="78"/>
      <c r="AB470" s="75"/>
      <c r="AJ470" s="72"/>
    </row>
    <row r="471" spans="1:36" s="69" customFormat="1" x14ac:dyDescent="0.25">
      <c r="A471" s="75"/>
      <c r="B471" s="75"/>
      <c r="C471" s="76"/>
      <c r="D471" s="76"/>
      <c r="E471" s="75"/>
      <c r="F471" s="75"/>
      <c r="G471" s="75"/>
      <c r="H471" s="75"/>
      <c r="I471" s="75"/>
      <c r="J471" s="75"/>
      <c r="K471" s="75"/>
      <c r="L471" s="75"/>
      <c r="M471" s="75"/>
      <c r="N471" s="75"/>
      <c r="O471" s="75"/>
      <c r="P471" s="75"/>
      <c r="Q471" s="75"/>
      <c r="R471" s="75"/>
      <c r="S471" s="75"/>
      <c r="T471" s="75"/>
      <c r="U471" s="75"/>
      <c r="V471" s="77"/>
      <c r="W471" s="75"/>
      <c r="X471" s="75"/>
      <c r="Y471" s="75"/>
      <c r="Z471" s="78"/>
      <c r="AA471" s="78"/>
      <c r="AB471" s="75"/>
      <c r="AJ471" s="72"/>
    </row>
    <row r="472" spans="1:36" s="69" customFormat="1" x14ac:dyDescent="0.25">
      <c r="A472" s="75"/>
      <c r="B472" s="75"/>
      <c r="C472" s="76"/>
      <c r="D472" s="76"/>
      <c r="E472" s="75"/>
      <c r="F472" s="75"/>
      <c r="G472" s="75"/>
      <c r="H472" s="75"/>
      <c r="I472" s="75"/>
      <c r="J472" s="75"/>
      <c r="K472" s="75"/>
      <c r="L472" s="75"/>
      <c r="M472" s="75"/>
      <c r="N472" s="75"/>
      <c r="O472" s="75"/>
      <c r="P472" s="75"/>
      <c r="Q472" s="75"/>
      <c r="R472" s="75"/>
      <c r="S472" s="75"/>
      <c r="T472" s="75"/>
      <c r="U472" s="75"/>
      <c r="V472" s="77"/>
      <c r="W472" s="75"/>
      <c r="X472" s="75"/>
      <c r="Y472" s="75"/>
      <c r="Z472" s="78"/>
      <c r="AA472" s="78"/>
      <c r="AB472" s="75"/>
      <c r="AJ472" s="72"/>
    </row>
    <row r="473" spans="1:36" s="69" customFormat="1" x14ac:dyDescent="0.25">
      <c r="A473" s="75"/>
      <c r="B473" s="75"/>
      <c r="C473" s="76"/>
      <c r="D473" s="76"/>
      <c r="E473" s="75"/>
      <c r="F473" s="75"/>
      <c r="G473" s="75"/>
      <c r="H473" s="75"/>
      <c r="I473" s="75"/>
      <c r="J473" s="75"/>
      <c r="K473" s="75"/>
      <c r="L473" s="75"/>
      <c r="M473" s="75"/>
      <c r="N473" s="75"/>
      <c r="O473" s="75"/>
      <c r="P473" s="75"/>
      <c r="Q473" s="75"/>
      <c r="R473" s="75"/>
      <c r="S473" s="75"/>
      <c r="T473" s="75"/>
      <c r="U473" s="75"/>
      <c r="V473" s="77"/>
      <c r="W473" s="75"/>
      <c r="X473" s="75"/>
      <c r="Y473" s="75"/>
      <c r="Z473" s="78"/>
      <c r="AA473" s="78"/>
      <c r="AB473" s="75"/>
      <c r="AJ473" s="72"/>
    </row>
    <row r="474" spans="1:36" s="69" customFormat="1" x14ac:dyDescent="0.25">
      <c r="A474" s="75"/>
      <c r="B474" s="75"/>
      <c r="C474" s="76"/>
      <c r="D474" s="76"/>
      <c r="E474" s="75"/>
      <c r="F474" s="75"/>
      <c r="G474" s="75"/>
      <c r="H474" s="75"/>
      <c r="I474" s="75"/>
      <c r="J474" s="75"/>
      <c r="K474" s="75"/>
      <c r="L474" s="75"/>
      <c r="M474" s="75"/>
      <c r="N474" s="75"/>
      <c r="O474" s="75"/>
      <c r="P474" s="75"/>
      <c r="Q474" s="75"/>
      <c r="R474" s="75"/>
      <c r="S474" s="75"/>
      <c r="T474" s="75"/>
      <c r="U474" s="75"/>
      <c r="V474" s="77"/>
      <c r="W474" s="75"/>
      <c r="X474" s="75"/>
      <c r="Y474" s="75"/>
      <c r="Z474" s="78"/>
      <c r="AA474" s="78"/>
      <c r="AB474" s="75"/>
      <c r="AJ474" s="72"/>
    </row>
    <row r="475" spans="1:36" s="69" customFormat="1" x14ac:dyDescent="0.25">
      <c r="A475" s="75"/>
      <c r="B475" s="75"/>
      <c r="C475" s="76"/>
      <c r="D475" s="76"/>
      <c r="E475" s="75"/>
      <c r="F475" s="75"/>
      <c r="G475" s="75"/>
      <c r="H475" s="75"/>
      <c r="I475" s="75"/>
      <c r="J475" s="75"/>
      <c r="K475" s="75"/>
      <c r="L475" s="75"/>
      <c r="M475" s="75"/>
      <c r="N475" s="75"/>
      <c r="O475" s="75"/>
      <c r="P475" s="75"/>
      <c r="Q475" s="75"/>
      <c r="R475" s="75"/>
      <c r="S475" s="75"/>
      <c r="T475" s="75"/>
      <c r="U475" s="75"/>
      <c r="V475" s="77"/>
      <c r="W475" s="75"/>
      <c r="X475" s="75"/>
      <c r="Y475" s="75"/>
      <c r="Z475" s="78"/>
      <c r="AA475" s="78"/>
      <c r="AB475" s="75"/>
      <c r="AJ475" s="72"/>
    </row>
    <row r="476" spans="1:36" s="69" customFormat="1" x14ac:dyDescent="0.25">
      <c r="A476" s="75"/>
      <c r="B476" s="75"/>
      <c r="C476" s="76"/>
      <c r="D476" s="76"/>
      <c r="E476" s="75"/>
      <c r="F476" s="75"/>
      <c r="G476" s="75"/>
      <c r="H476" s="75"/>
      <c r="I476" s="75"/>
      <c r="J476" s="75"/>
      <c r="K476" s="75"/>
      <c r="L476" s="75"/>
      <c r="M476" s="75"/>
      <c r="N476" s="75"/>
      <c r="O476" s="75"/>
      <c r="P476" s="75"/>
      <c r="Q476" s="75"/>
      <c r="R476" s="75"/>
      <c r="S476" s="75"/>
      <c r="T476" s="75"/>
      <c r="U476" s="75"/>
      <c r="V476" s="77"/>
      <c r="W476" s="75"/>
      <c r="X476" s="75"/>
      <c r="Y476" s="75"/>
      <c r="Z476" s="78"/>
      <c r="AA476" s="78"/>
      <c r="AB476" s="75"/>
      <c r="AJ476" s="72"/>
    </row>
    <row r="477" spans="1:36" s="69" customFormat="1" x14ac:dyDescent="0.25">
      <c r="A477" s="75"/>
      <c r="B477" s="75"/>
      <c r="C477" s="76"/>
      <c r="D477" s="76"/>
      <c r="E477" s="75"/>
      <c r="F477" s="75"/>
      <c r="G477" s="75"/>
      <c r="H477" s="75"/>
      <c r="I477" s="75"/>
      <c r="J477" s="75"/>
      <c r="K477" s="75"/>
      <c r="L477" s="75"/>
      <c r="M477" s="75"/>
      <c r="N477" s="75"/>
      <c r="O477" s="75"/>
      <c r="P477" s="75"/>
      <c r="Q477" s="75"/>
      <c r="R477" s="75"/>
      <c r="S477" s="75"/>
      <c r="T477" s="75"/>
      <c r="U477" s="75"/>
      <c r="V477" s="77"/>
      <c r="W477" s="75"/>
      <c r="X477" s="75"/>
      <c r="Y477" s="75"/>
      <c r="Z477" s="78"/>
      <c r="AA477" s="78"/>
      <c r="AB477" s="75"/>
      <c r="AJ477" s="72"/>
    </row>
    <row r="478" spans="1:36" s="69" customFormat="1" x14ac:dyDescent="0.25">
      <c r="A478" s="75"/>
      <c r="B478" s="75"/>
      <c r="C478" s="76"/>
      <c r="D478" s="76"/>
      <c r="E478" s="75"/>
      <c r="F478" s="75"/>
      <c r="G478" s="75"/>
      <c r="H478" s="75"/>
      <c r="I478" s="75"/>
      <c r="J478" s="75"/>
      <c r="K478" s="75"/>
      <c r="L478" s="75"/>
      <c r="M478" s="75"/>
      <c r="N478" s="75"/>
      <c r="O478" s="75"/>
      <c r="P478" s="75"/>
      <c r="Q478" s="75"/>
      <c r="R478" s="75"/>
      <c r="S478" s="75"/>
      <c r="T478" s="75"/>
      <c r="U478" s="75"/>
      <c r="V478" s="77"/>
      <c r="W478" s="75"/>
      <c r="X478" s="75"/>
      <c r="Y478" s="75"/>
      <c r="Z478" s="78"/>
      <c r="AA478" s="78"/>
      <c r="AB478" s="75"/>
      <c r="AJ478" s="72"/>
    </row>
    <row r="479" spans="1:36" s="69" customFormat="1" x14ac:dyDescent="0.25">
      <c r="A479" s="75"/>
      <c r="B479" s="75"/>
      <c r="C479" s="76"/>
      <c r="D479" s="76"/>
      <c r="E479" s="75"/>
      <c r="F479" s="75"/>
      <c r="G479" s="75"/>
      <c r="H479" s="75"/>
      <c r="I479" s="75"/>
      <c r="J479" s="75"/>
      <c r="K479" s="75"/>
      <c r="L479" s="75"/>
      <c r="M479" s="75"/>
      <c r="N479" s="75"/>
      <c r="O479" s="75"/>
      <c r="P479" s="75"/>
      <c r="Q479" s="75"/>
      <c r="R479" s="75"/>
      <c r="S479" s="75"/>
      <c r="T479" s="75"/>
      <c r="U479" s="75"/>
      <c r="V479" s="77"/>
      <c r="W479" s="75"/>
      <c r="X479" s="75"/>
      <c r="Y479" s="75"/>
      <c r="Z479" s="78"/>
      <c r="AA479" s="78"/>
      <c r="AB479" s="75"/>
      <c r="AJ479" s="72"/>
    </row>
    <row r="480" spans="1:36" s="69" customFormat="1" x14ac:dyDescent="0.25">
      <c r="A480" s="75"/>
      <c r="B480" s="75"/>
      <c r="C480" s="76"/>
      <c r="D480" s="76"/>
      <c r="E480" s="75"/>
      <c r="F480" s="75"/>
      <c r="G480" s="75"/>
      <c r="H480" s="75"/>
      <c r="I480" s="75"/>
      <c r="J480" s="75"/>
      <c r="K480" s="75"/>
      <c r="L480" s="75"/>
      <c r="M480" s="75"/>
      <c r="N480" s="75"/>
      <c r="O480" s="75"/>
      <c r="P480" s="75"/>
      <c r="Q480" s="75"/>
      <c r="R480" s="75"/>
      <c r="S480" s="75"/>
      <c r="T480" s="75"/>
      <c r="U480" s="75"/>
      <c r="V480" s="77"/>
      <c r="W480" s="75"/>
      <c r="X480" s="75"/>
      <c r="Y480" s="75"/>
      <c r="Z480" s="78"/>
      <c r="AA480" s="78"/>
      <c r="AB480" s="75"/>
      <c r="AJ480" s="72"/>
    </row>
    <row r="481" spans="1:36" s="69" customFormat="1" x14ac:dyDescent="0.25">
      <c r="A481" s="75"/>
      <c r="B481" s="75"/>
      <c r="C481" s="76"/>
      <c r="D481" s="76"/>
      <c r="E481" s="75"/>
      <c r="F481" s="75"/>
      <c r="G481" s="75"/>
      <c r="H481" s="75"/>
      <c r="I481" s="75"/>
      <c r="J481" s="75"/>
      <c r="K481" s="75"/>
      <c r="L481" s="75"/>
      <c r="M481" s="75"/>
      <c r="N481" s="75"/>
      <c r="O481" s="75"/>
      <c r="P481" s="75"/>
      <c r="Q481" s="75"/>
      <c r="R481" s="75"/>
      <c r="S481" s="75"/>
      <c r="T481" s="75"/>
      <c r="U481" s="75"/>
      <c r="V481" s="77"/>
      <c r="W481" s="75"/>
      <c r="X481" s="75"/>
      <c r="Y481" s="75"/>
      <c r="Z481" s="78"/>
      <c r="AA481" s="78"/>
      <c r="AB481" s="75"/>
      <c r="AJ481" s="72"/>
    </row>
    <row r="482" spans="1:36" s="69" customFormat="1" x14ac:dyDescent="0.25">
      <c r="A482" s="75"/>
      <c r="B482" s="75"/>
      <c r="C482" s="76"/>
      <c r="D482" s="76"/>
      <c r="E482" s="75"/>
      <c r="F482" s="75"/>
      <c r="G482" s="75"/>
      <c r="H482" s="75"/>
      <c r="I482" s="75"/>
      <c r="J482" s="75"/>
      <c r="K482" s="75"/>
      <c r="L482" s="75"/>
      <c r="M482" s="75"/>
      <c r="N482" s="75"/>
      <c r="O482" s="75"/>
      <c r="P482" s="75"/>
      <c r="Q482" s="75"/>
      <c r="R482" s="75"/>
      <c r="S482" s="75"/>
      <c r="T482" s="75"/>
      <c r="U482" s="75"/>
      <c r="V482" s="77"/>
      <c r="W482" s="75"/>
      <c r="X482" s="75"/>
      <c r="Y482" s="75"/>
      <c r="Z482" s="78"/>
      <c r="AA482" s="78"/>
      <c r="AB482" s="75"/>
      <c r="AJ482" s="72"/>
    </row>
    <row r="483" spans="1:36" s="69" customFormat="1" x14ac:dyDescent="0.25">
      <c r="A483" s="75"/>
      <c r="B483" s="75"/>
      <c r="C483" s="76"/>
      <c r="D483" s="76"/>
      <c r="E483" s="75"/>
      <c r="F483" s="75"/>
      <c r="G483" s="75"/>
      <c r="H483" s="75"/>
      <c r="I483" s="75"/>
      <c r="J483" s="75"/>
      <c r="K483" s="75"/>
      <c r="L483" s="75"/>
      <c r="M483" s="75"/>
      <c r="N483" s="75"/>
      <c r="O483" s="75"/>
      <c r="P483" s="75"/>
      <c r="Q483" s="75"/>
      <c r="R483" s="75"/>
      <c r="S483" s="75"/>
      <c r="T483" s="75"/>
      <c r="U483" s="75"/>
      <c r="V483" s="77"/>
      <c r="W483" s="75"/>
      <c r="X483" s="75"/>
      <c r="Y483" s="75"/>
      <c r="Z483" s="78"/>
      <c r="AA483" s="78"/>
      <c r="AB483" s="75"/>
      <c r="AJ483" s="72"/>
    </row>
    <row r="484" spans="1:36" s="69" customFormat="1" x14ac:dyDescent="0.25">
      <c r="A484" s="75"/>
      <c r="B484" s="75"/>
      <c r="C484" s="76"/>
      <c r="D484" s="76"/>
      <c r="E484" s="75"/>
      <c r="F484" s="75"/>
      <c r="G484" s="75"/>
      <c r="H484" s="75"/>
      <c r="I484" s="75"/>
      <c r="J484" s="75"/>
      <c r="K484" s="75"/>
      <c r="L484" s="75"/>
      <c r="M484" s="75"/>
      <c r="N484" s="75"/>
      <c r="O484" s="75"/>
      <c r="P484" s="75"/>
      <c r="Q484" s="75"/>
      <c r="R484" s="75"/>
      <c r="S484" s="75"/>
      <c r="T484" s="75"/>
      <c r="U484" s="75"/>
      <c r="V484" s="77"/>
      <c r="W484" s="75"/>
      <c r="X484" s="75"/>
      <c r="Y484" s="75"/>
      <c r="Z484" s="78"/>
      <c r="AA484" s="78"/>
      <c r="AB484" s="75"/>
      <c r="AJ484" s="72"/>
    </row>
    <row r="485" spans="1:36" s="69" customFormat="1" x14ac:dyDescent="0.25">
      <c r="A485" s="75"/>
      <c r="B485" s="75"/>
      <c r="C485" s="76"/>
      <c r="D485" s="76"/>
      <c r="E485" s="75"/>
      <c r="F485" s="75"/>
      <c r="G485" s="75"/>
      <c r="H485" s="75"/>
      <c r="I485" s="75"/>
      <c r="J485" s="75"/>
      <c r="K485" s="75"/>
      <c r="L485" s="75"/>
      <c r="M485" s="75"/>
      <c r="N485" s="75"/>
      <c r="O485" s="75"/>
      <c r="P485" s="75"/>
      <c r="Q485" s="75"/>
      <c r="R485" s="75"/>
      <c r="S485" s="75"/>
      <c r="T485" s="75"/>
      <c r="U485" s="75"/>
      <c r="V485" s="77"/>
      <c r="W485" s="75"/>
      <c r="X485" s="75"/>
      <c r="Y485" s="75"/>
      <c r="Z485" s="78"/>
      <c r="AA485" s="78"/>
      <c r="AB485" s="75"/>
      <c r="AJ485" s="72"/>
    </row>
    <row r="486" spans="1:36" s="69" customFormat="1" x14ac:dyDescent="0.25">
      <c r="A486" s="75"/>
      <c r="B486" s="75"/>
      <c r="C486" s="76"/>
      <c r="D486" s="76"/>
      <c r="E486" s="75"/>
      <c r="F486" s="75"/>
      <c r="G486" s="75"/>
      <c r="H486" s="75"/>
      <c r="I486" s="75"/>
      <c r="J486" s="75"/>
      <c r="K486" s="75"/>
      <c r="L486" s="75"/>
      <c r="M486" s="75"/>
      <c r="N486" s="75"/>
      <c r="O486" s="75"/>
      <c r="P486" s="75"/>
      <c r="Q486" s="75"/>
      <c r="R486" s="75"/>
      <c r="S486" s="75"/>
      <c r="T486" s="75"/>
      <c r="U486" s="75"/>
      <c r="V486" s="77"/>
      <c r="W486" s="75"/>
      <c r="X486" s="75"/>
      <c r="Y486" s="75"/>
      <c r="Z486" s="78"/>
      <c r="AA486" s="78"/>
      <c r="AB486" s="75"/>
      <c r="AJ486" s="72"/>
    </row>
    <row r="487" spans="1:36" s="69" customFormat="1" x14ac:dyDescent="0.25">
      <c r="A487" s="75"/>
      <c r="B487" s="75"/>
      <c r="C487" s="76"/>
      <c r="D487" s="76"/>
      <c r="E487" s="75"/>
      <c r="F487" s="75"/>
      <c r="G487" s="75"/>
      <c r="H487" s="75"/>
      <c r="I487" s="75"/>
      <c r="J487" s="75"/>
      <c r="K487" s="75"/>
      <c r="L487" s="75"/>
      <c r="M487" s="75"/>
      <c r="N487" s="75"/>
      <c r="O487" s="75"/>
      <c r="P487" s="75"/>
      <c r="Q487" s="75"/>
      <c r="R487" s="75"/>
      <c r="S487" s="75"/>
      <c r="T487" s="75"/>
      <c r="U487" s="75"/>
      <c r="V487" s="77"/>
      <c r="W487" s="75"/>
      <c r="X487" s="75"/>
      <c r="Y487" s="75"/>
      <c r="Z487" s="78"/>
      <c r="AA487" s="78"/>
      <c r="AB487" s="75"/>
      <c r="AJ487" s="72"/>
    </row>
    <row r="488" spans="1:36" s="69" customFormat="1" x14ac:dyDescent="0.25">
      <c r="A488" s="75"/>
      <c r="B488" s="75"/>
      <c r="C488" s="76"/>
      <c r="D488" s="76"/>
      <c r="E488" s="75"/>
      <c r="F488" s="75"/>
      <c r="G488" s="75"/>
      <c r="H488" s="75"/>
      <c r="I488" s="75"/>
      <c r="J488" s="75"/>
      <c r="K488" s="75"/>
      <c r="L488" s="75"/>
      <c r="M488" s="75"/>
      <c r="N488" s="75"/>
      <c r="O488" s="75"/>
      <c r="P488" s="75"/>
      <c r="Q488" s="75"/>
      <c r="R488" s="75"/>
      <c r="S488" s="75"/>
      <c r="T488" s="75"/>
      <c r="U488" s="75"/>
      <c r="V488" s="77"/>
      <c r="W488" s="75"/>
      <c r="X488" s="75"/>
      <c r="Y488" s="75"/>
      <c r="Z488" s="78"/>
      <c r="AA488" s="78"/>
      <c r="AB488" s="75"/>
      <c r="AJ488" s="72"/>
    </row>
    <row r="489" spans="1:36" s="69" customFormat="1" x14ac:dyDescent="0.25">
      <c r="A489" s="75"/>
      <c r="B489" s="75"/>
      <c r="C489" s="76"/>
      <c r="D489" s="76"/>
      <c r="E489" s="75"/>
      <c r="F489" s="75"/>
      <c r="G489" s="75"/>
      <c r="H489" s="75"/>
      <c r="I489" s="75"/>
      <c r="J489" s="75"/>
      <c r="K489" s="75"/>
      <c r="L489" s="75"/>
      <c r="M489" s="75"/>
      <c r="N489" s="75"/>
      <c r="O489" s="75"/>
      <c r="P489" s="75"/>
      <c r="Q489" s="75"/>
      <c r="R489" s="75"/>
      <c r="S489" s="75"/>
      <c r="T489" s="75"/>
      <c r="U489" s="75"/>
      <c r="V489" s="77"/>
      <c r="W489" s="75"/>
      <c r="X489" s="75"/>
      <c r="Y489" s="75"/>
      <c r="Z489" s="78"/>
      <c r="AA489" s="78"/>
      <c r="AB489" s="75"/>
      <c r="AJ489" s="72"/>
    </row>
    <row r="490" spans="1:36" s="69" customFormat="1" x14ac:dyDescent="0.25">
      <c r="A490" s="75"/>
      <c r="B490" s="75"/>
      <c r="C490" s="76"/>
      <c r="D490" s="76"/>
      <c r="E490" s="75"/>
      <c r="F490" s="75"/>
      <c r="G490" s="75"/>
      <c r="H490" s="75"/>
      <c r="I490" s="75"/>
      <c r="J490" s="75"/>
      <c r="K490" s="75"/>
      <c r="L490" s="75"/>
      <c r="M490" s="75"/>
      <c r="N490" s="75"/>
      <c r="O490" s="75"/>
      <c r="P490" s="75"/>
      <c r="Q490" s="75"/>
      <c r="R490" s="75"/>
      <c r="S490" s="75"/>
      <c r="T490" s="75"/>
      <c r="U490" s="75"/>
      <c r="V490" s="77"/>
      <c r="W490" s="75"/>
      <c r="X490" s="75"/>
      <c r="Y490" s="75"/>
      <c r="Z490" s="78"/>
      <c r="AA490" s="78"/>
      <c r="AB490" s="75"/>
      <c r="AJ490" s="72"/>
    </row>
    <row r="491" spans="1:36" s="69" customFormat="1" x14ac:dyDescent="0.25">
      <c r="A491" s="75"/>
      <c r="B491" s="75"/>
      <c r="C491" s="76"/>
      <c r="D491" s="76"/>
      <c r="E491" s="75"/>
      <c r="F491" s="75"/>
      <c r="G491" s="75"/>
      <c r="H491" s="75"/>
      <c r="I491" s="75"/>
      <c r="J491" s="75"/>
      <c r="K491" s="75"/>
      <c r="L491" s="75"/>
      <c r="M491" s="75"/>
      <c r="N491" s="75"/>
      <c r="O491" s="75"/>
      <c r="P491" s="75"/>
      <c r="Q491" s="75"/>
      <c r="R491" s="75"/>
      <c r="S491" s="75"/>
      <c r="T491" s="75"/>
      <c r="U491" s="75"/>
      <c r="V491" s="77"/>
      <c r="W491" s="75"/>
      <c r="X491" s="75"/>
      <c r="Y491" s="75"/>
      <c r="Z491" s="78"/>
      <c r="AA491" s="78"/>
      <c r="AB491" s="75"/>
      <c r="AJ491" s="72"/>
    </row>
    <row r="492" spans="1:36" s="69" customFormat="1" x14ac:dyDescent="0.25">
      <c r="A492" s="75"/>
      <c r="B492" s="75"/>
      <c r="C492" s="76"/>
      <c r="D492" s="76"/>
      <c r="E492" s="75"/>
      <c r="F492" s="75"/>
      <c r="G492" s="75"/>
      <c r="H492" s="75"/>
      <c r="I492" s="75"/>
      <c r="J492" s="75"/>
      <c r="K492" s="75"/>
      <c r="L492" s="75"/>
      <c r="M492" s="75"/>
      <c r="N492" s="75"/>
      <c r="O492" s="75"/>
      <c r="P492" s="75"/>
      <c r="Q492" s="75"/>
      <c r="R492" s="75"/>
      <c r="S492" s="75"/>
      <c r="T492" s="75"/>
      <c r="U492" s="75"/>
      <c r="V492" s="77"/>
      <c r="W492" s="75"/>
      <c r="X492" s="75"/>
      <c r="Y492" s="75"/>
      <c r="Z492" s="78"/>
      <c r="AA492" s="78"/>
      <c r="AB492" s="75"/>
      <c r="AJ492" s="72"/>
    </row>
    <row r="493" spans="1:36" s="69" customFormat="1" x14ac:dyDescent="0.25">
      <c r="A493" s="75"/>
      <c r="B493" s="75"/>
      <c r="C493" s="76"/>
      <c r="D493" s="76"/>
      <c r="E493" s="75"/>
      <c r="F493" s="75"/>
      <c r="G493" s="75"/>
      <c r="H493" s="75"/>
      <c r="I493" s="75"/>
      <c r="J493" s="75"/>
      <c r="K493" s="75"/>
      <c r="L493" s="75"/>
      <c r="M493" s="75"/>
      <c r="N493" s="75"/>
      <c r="O493" s="75"/>
      <c r="P493" s="75"/>
      <c r="Q493" s="75"/>
      <c r="R493" s="75"/>
      <c r="S493" s="75"/>
      <c r="T493" s="75"/>
      <c r="U493" s="75"/>
      <c r="V493" s="77"/>
      <c r="W493" s="75"/>
      <c r="X493" s="75"/>
      <c r="Y493" s="75"/>
      <c r="Z493" s="78"/>
      <c r="AA493" s="78"/>
      <c r="AB493" s="75"/>
      <c r="AJ493" s="72"/>
    </row>
    <row r="494" spans="1:36" s="69" customFormat="1" x14ac:dyDescent="0.25">
      <c r="A494" s="75"/>
      <c r="B494" s="75"/>
      <c r="C494" s="76"/>
      <c r="D494" s="76"/>
      <c r="E494" s="75"/>
      <c r="F494" s="75"/>
      <c r="G494" s="75"/>
      <c r="H494" s="75"/>
      <c r="I494" s="75"/>
      <c r="J494" s="75"/>
      <c r="K494" s="75"/>
      <c r="L494" s="75"/>
      <c r="M494" s="75"/>
      <c r="N494" s="75"/>
      <c r="O494" s="75"/>
      <c r="P494" s="75"/>
      <c r="Q494" s="75"/>
      <c r="R494" s="75"/>
      <c r="S494" s="75"/>
      <c r="T494" s="75"/>
      <c r="U494" s="75"/>
      <c r="V494" s="77"/>
      <c r="W494" s="75"/>
      <c r="X494" s="75"/>
      <c r="Y494" s="75"/>
      <c r="Z494" s="78"/>
      <c r="AA494" s="78"/>
      <c r="AB494" s="75"/>
      <c r="AJ494" s="72"/>
    </row>
    <row r="495" spans="1:36" s="69" customFormat="1" x14ac:dyDescent="0.25">
      <c r="A495" s="75"/>
      <c r="B495" s="75"/>
      <c r="C495" s="76"/>
      <c r="D495" s="76"/>
      <c r="E495" s="75"/>
      <c r="F495" s="75"/>
      <c r="G495" s="75"/>
      <c r="H495" s="75"/>
      <c r="I495" s="75"/>
      <c r="J495" s="75"/>
      <c r="K495" s="75"/>
      <c r="L495" s="75"/>
      <c r="M495" s="75"/>
      <c r="N495" s="75"/>
      <c r="O495" s="75"/>
      <c r="P495" s="75"/>
      <c r="Q495" s="75"/>
      <c r="R495" s="75"/>
      <c r="S495" s="75"/>
      <c r="T495" s="75"/>
      <c r="U495" s="75"/>
      <c r="V495" s="77"/>
      <c r="W495" s="75"/>
      <c r="X495" s="75"/>
      <c r="Y495" s="75"/>
      <c r="Z495" s="78"/>
      <c r="AA495" s="78"/>
      <c r="AB495" s="75"/>
      <c r="AJ495" s="72"/>
    </row>
    <row r="496" spans="1:36" s="69" customFormat="1" x14ac:dyDescent="0.25">
      <c r="A496" s="75"/>
      <c r="B496" s="75"/>
      <c r="C496" s="76"/>
      <c r="D496" s="76"/>
      <c r="E496" s="75"/>
      <c r="F496" s="75"/>
      <c r="G496" s="75"/>
      <c r="H496" s="75"/>
      <c r="I496" s="75"/>
      <c r="J496" s="75"/>
      <c r="K496" s="75"/>
      <c r="L496" s="75"/>
      <c r="M496" s="75"/>
      <c r="N496" s="75"/>
      <c r="O496" s="75"/>
      <c r="P496" s="75"/>
      <c r="Q496" s="75"/>
      <c r="R496" s="75"/>
      <c r="S496" s="75"/>
      <c r="T496" s="75"/>
      <c r="U496" s="75"/>
      <c r="V496" s="77"/>
      <c r="W496" s="75"/>
      <c r="X496" s="75"/>
      <c r="Y496" s="75"/>
      <c r="Z496" s="78"/>
      <c r="AA496" s="78"/>
      <c r="AB496" s="75"/>
      <c r="AJ496" s="72"/>
    </row>
    <row r="497" spans="1:36" s="69" customFormat="1" x14ac:dyDescent="0.25">
      <c r="A497" s="75"/>
      <c r="B497" s="75"/>
      <c r="C497" s="76"/>
      <c r="D497" s="76"/>
      <c r="E497" s="75"/>
      <c r="F497" s="75"/>
      <c r="G497" s="75"/>
      <c r="H497" s="75"/>
      <c r="I497" s="75"/>
      <c r="J497" s="75"/>
      <c r="K497" s="75"/>
      <c r="L497" s="75"/>
      <c r="M497" s="75"/>
      <c r="N497" s="75"/>
      <c r="O497" s="75"/>
      <c r="P497" s="75"/>
      <c r="Q497" s="75"/>
      <c r="R497" s="75"/>
      <c r="S497" s="75"/>
      <c r="T497" s="75"/>
      <c r="U497" s="75"/>
      <c r="V497" s="77"/>
      <c r="W497" s="75"/>
      <c r="X497" s="75"/>
      <c r="Y497" s="75"/>
      <c r="Z497" s="78"/>
      <c r="AA497" s="78"/>
      <c r="AB497" s="75"/>
      <c r="AJ497" s="72"/>
    </row>
    <row r="498" spans="1:36" s="69" customFormat="1" x14ac:dyDescent="0.25">
      <c r="A498" s="75"/>
      <c r="B498" s="75"/>
      <c r="C498" s="76"/>
      <c r="D498" s="76"/>
      <c r="E498" s="75"/>
      <c r="F498" s="75"/>
      <c r="G498" s="75"/>
      <c r="H498" s="75"/>
      <c r="I498" s="75"/>
      <c r="J498" s="75"/>
      <c r="K498" s="75"/>
      <c r="L498" s="75"/>
      <c r="M498" s="75"/>
      <c r="N498" s="75"/>
      <c r="O498" s="75"/>
      <c r="P498" s="75"/>
      <c r="Q498" s="75"/>
      <c r="R498" s="75"/>
      <c r="S498" s="75"/>
      <c r="T498" s="75"/>
      <c r="U498" s="75"/>
      <c r="V498" s="77"/>
      <c r="W498" s="75"/>
      <c r="X498" s="75"/>
      <c r="Y498" s="75"/>
      <c r="Z498" s="78"/>
      <c r="AA498" s="78"/>
      <c r="AB498" s="75"/>
      <c r="AJ498" s="72"/>
    </row>
    <row r="499" spans="1:36" s="69" customFormat="1" x14ac:dyDescent="0.25">
      <c r="A499" s="75"/>
      <c r="B499" s="75"/>
      <c r="C499" s="76"/>
      <c r="D499" s="76"/>
      <c r="E499" s="75"/>
      <c r="F499" s="75"/>
      <c r="G499" s="75"/>
      <c r="H499" s="75"/>
      <c r="I499" s="75"/>
      <c r="J499" s="75"/>
      <c r="K499" s="75"/>
      <c r="L499" s="75"/>
      <c r="M499" s="75"/>
      <c r="N499" s="75"/>
      <c r="O499" s="75"/>
      <c r="P499" s="75"/>
      <c r="Q499" s="75"/>
      <c r="R499" s="75"/>
      <c r="S499" s="75"/>
      <c r="T499" s="75"/>
      <c r="U499" s="75"/>
      <c r="V499" s="77"/>
      <c r="W499" s="75"/>
      <c r="X499" s="75"/>
      <c r="Y499" s="75"/>
      <c r="Z499" s="78"/>
      <c r="AA499" s="78"/>
      <c r="AB499" s="75"/>
      <c r="AJ499" s="72"/>
    </row>
    <row r="500" spans="1:36" s="69" customFormat="1" x14ac:dyDescent="0.25">
      <c r="A500" s="75"/>
      <c r="B500" s="75"/>
      <c r="C500" s="76"/>
      <c r="D500" s="76"/>
      <c r="E500" s="75"/>
      <c r="F500" s="75"/>
      <c r="G500" s="75"/>
      <c r="H500" s="75"/>
      <c r="I500" s="75"/>
      <c r="J500" s="75"/>
      <c r="K500" s="75"/>
      <c r="L500" s="75"/>
      <c r="M500" s="75"/>
      <c r="N500" s="75"/>
      <c r="O500" s="75"/>
      <c r="P500" s="75"/>
      <c r="Q500" s="75"/>
      <c r="R500" s="75"/>
      <c r="S500" s="75"/>
      <c r="T500" s="75"/>
      <c r="U500" s="75"/>
      <c r="V500" s="77"/>
      <c r="W500" s="75"/>
      <c r="X500" s="75"/>
      <c r="Y500" s="75"/>
      <c r="Z500" s="78"/>
      <c r="AA500" s="78"/>
      <c r="AB500" s="75"/>
      <c r="AJ500" s="72"/>
    </row>
    <row r="501" spans="1:36" s="69" customFormat="1" x14ac:dyDescent="0.25">
      <c r="A501" s="75"/>
      <c r="B501" s="75"/>
      <c r="C501" s="76"/>
      <c r="D501" s="76"/>
      <c r="E501" s="75"/>
      <c r="F501" s="75"/>
      <c r="G501" s="75"/>
      <c r="H501" s="75"/>
      <c r="I501" s="75"/>
      <c r="J501" s="75"/>
      <c r="K501" s="75"/>
      <c r="L501" s="75"/>
      <c r="M501" s="75"/>
      <c r="N501" s="75"/>
      <c r="O501" s="75"/>
      <c r="P501" s="75"/>
      <c r="Q501" s="75"/>
      <c r="R501" s="75"/>
      <c r="S501" s="75"/>
      <c r="T501" s="75"/>
      <c r="U501" s="75"/>
      <c r="V501" s="77"/>
      <c r="W501" s="75"/>
      <c r="X501" s="75"/>
      <c r="Y501" s="75"/>
      <c r="Z501" s="78"/>
      <c r="AA501" s="78"/>
      <c r="AB501" s="75"/>
      <c r="AJ501" s="72"/>
    </row>
    <row r="502" spans="1:36" s="69" customFormat="1" x14ac:dyDescent="0.25">
      <c r="A502" s="75"/>
      <c r="B502" s="75"/>
      <c r="C502" s="76"/>
      <c r="D502" s="76"/>
      <c r="E502" s="75"/>
      <c r="F502" s="75"/>
      <c r="G502" s="75"/>
      <c r="H502" s="75"/>
      <c r="I502" s="75"/>
      <c r="J502" s="75"/>
      <c r="K502" s="75"/>
      <c r="L502" s="75"/>
      <c r="M502" s="75"/>
      <c r="N502" s="75"/>
      <c r="O502" s="75"/>
      <c r="P502" s="75"/>
      <c r="Q502" s="75"/>
      <c r="R502" s="75"/>
      <c r="S502" s="75"/>
      <c r="T502" s="75"/>
      <c r="U502" s="75"/>
      <c r="V502" s="77"/>
      <c r="W502" s="75"/>
      <c r="X502" s="75"/>
      <c r="Y502" s="75"/>
      <c r="Z502" s="78"/>
      <c r="AA502" s="78"/>
      <c r="AB502" s="75"/>
      <c r="AJ502" s="72"/>
    </row>
    <row r="503" spans="1:36" s="69" customFormat="1" x14ac:dyDescent="0.25">
      <c r="A503" s="75"/>
      <c r="B503" s="75"/>
      <c r="C503" s="76"/>
      <c r="D503" s="76"/>
      <c r="E503" s="75"/>
      <c r="F503" s="75"/>
      <c r="G503" s="75"/>
      <c r="H503" s="75"/>
      <c r="I503" s="75"/>
      <c r="J503" s="75"/>
      <c r="K503" s="75"/>
      <c r="L503" s="75"/>
      <c r="M503" s="75"/>
      <c r="N503" s="75"/>
      <c r="O503" s="75"/>
      <c r="P503" s="75"/>
      <c r="Q503" s="75"/>
      <c r="R503" s="75"/>
      <c r="S503" s="75"/>
      <c r="T503" s="75"/>
      <c r="U503" s="75"/>
      <c r="V503" s="77"/>
      <c r="W503" s="75"/>
      <c r="X503" s="75"/>
      <c r="Y503" s="75"/>
      <c r="Z503" s="78"/>
      <c r="AA503" s="78"/>
      <c r="AB503" s="75"/>
      <c r="AJ503" s="72"/>
    </row>
    <row r="504" spans="1:36" s="69" customFormat="1" x14ac:dyDescent="0.25">
      <c r="A504" s="75"/>
      <c r="B504" s="75"/>
      <c r="C504" s="76"/>
      <c r="D504" s="76"/>
      <c r="E504" s="75"/>
      <c r="F504" s="75"/>
      <c r="G504" s="75"/>
      <c r="H504" s="75"/>
      <c r="I504" s="75"/>
      <c r="J504" s="75"/>
      <c r="K504" s="75"/>
      <c r="L504" s="75"/>
      <c r="M504" s="75"/>
      <c r="N504" s="75"/>
      <c r="O504" s="75"/>
      <c r="P504" s="75"/>
      <c r="Q504" s="75"/>
      <c r="R504" s="75"/>
      <c r="S504" s="75"/>
      <c r="T504" s="75"/>
      <c r="U504" s="75"/>
      <c r="V504" s="77"/>
      <c r="W504" s="75"/>
      <c r="X504" s="75"/>
      <c r="Y504" s="75"/>
      <c r="Z504" s="78"/>
      <c r="AA504" s="78"/>
      <c r="AB504" s="75"/>
      <c r="AJ504" s="72"/>
    </row>
    <row r="505" spans="1:36" s="69" customFormat="1" x14ac:dyDescent="0.25">
      <c r="A505" s="75"/>
      <c r="B505" s="75"/>
      <c r="C505" s="76"/>
      <c r="D505" s="76"/>
      <c r="E505" s="75"/>
      <c r="F505" s="75"/>
      <c r="G505" s="75"/>
      <c r="H505" s="75"/>
      <c r="I505" s="75"/>
      <c r="J505" s="75"/>
      <c r="K505" s="75"/>
      <c r="L505" s="75"/>
      <c r="M505" s="75"/>
      <c r="N505" s="75"/>
      <c r="O505" s="75"/>
      <c r="P505" s="75"/>
      <c r="Q505" s="75"/>
      <c r="R505" s="75"/>
      <c r="S505" s="75"/>
      <c r="T505" s="75"/>
      <c r="U505" s="75"/>
      <c r="V505" s="77"/>
      <c r="W505" s="75"/>
      <c r="X505" s="75"/>
      <c r="Y505" s="75"/>
      <c r="Z505" s="78"/>
      <c r="AA505" s="78"/>
      <c r="AB505" s="75"/>
      <c r="AJ505" s="72"/>
    </row>
    <row r="506" spans="1:36" s="69" customFormat="1" x14ac:dyDescent="0.25">
      <c r="A506" s="75"/>
      <c r="B506" s="75"/>
      <c r="C506" s="76"/>
      <c r="D506" s="76"/>
      <c r="E506" s="75"/>
      <c r="F506" s="75"/>
      <c r="G506" s="75"/>
      <c r="H506" s="75"/>
      <c r="I506" s="75"/>
      <c r="J506" s="75"/>
      <c r="K506" s="75"/>
      <c r="L506" s="75"/>
      <c r="M506" s="75"/>
      <c r="N506" s="75"/>
      <c r="O506" s="75"/>
      <c r="P506" s="75"/>
      <c r="Q506" s="75"/>
      <c r="R506" s="75"/>
      <c r="S506" s="75"/>
      <c r="T506" s="75"/>
      <c r="U506" s="75"/>
      <c r="V506" s="77"/>
      <c r="W506" s="75"/>
      <c r="X506" s="75"/>
      <c r="Y506" s="75"/>
      <c r="Z506" s="78"/>
      <c r="AA506" s="78"/>
      <c r="AB506" s="75"/>
      <c r="AJ506" s="72"/>
    </row>
    <row r="507" spans="1:36" s="69" customFormat="1" x14ac:dyDescent="0.25">
      <c r="A507" s="75"/>
      <c r="B507" s="75"/>
      <c r="C507" s="76"/>
      <c r="D507" s="76"/>
      <c r="E507" s="75"/>
      <c r="F507" s="75"/>
      <c r="G507" s="75"/>
      <c r="H507" s="75"/>
      <c r="I507" s="75"/>
      <c r="J507" s="75"/>
      <c r="K507" s="75"/>
      <c r="L507" s="75"/>
      <c r="M507" s="75"/>
      <c r="N507" s="75"/>
      <c r="O507" s="75"/>
      <c r="P507" s="75"/>
      <c r="Q507" s="75"/>
      <c r="R507" s="75"/>
      <c r="S507" s="75"/>
      <c r="T507" s="75"/>
      <c r="U507" s="75"/>
      <c r="V507" s="77"/>
      <c r="W507" s="75"/>
      <c r="X507" s="75"/>
      <c r="Y507" s="75"/>
      <c r="Z507" s="78"/>
      <c r="AA507" s="78"/>
      <c r="AB507" s="75"/>
      <c r="AJ507" s="72"/>
    </row>
    <row r="508" spans="1:36" s="69" customFormat="1" x14ac:dyDescent="0.25">
      <c r="A508" s="75"/>
      <c r="B508" s="75"/>
      <c r="C508" s="76"/>
      <c r="D508" s="76"/>
      <c r="E508" s="75"/>
      <c r="F508" s="75"/>
      <c r="G508" s="75"/>
      <c r="H508" s="75"/>
      <c r="I508" s="75"/>
      <c r="J508" s="75"/>
      <c r="K508" s="75"/>
      <c r="L508" s="75"/>
      <c r="M508" s="75"/>
      <c r="N508" s="75"/>
      <c r="O508" s="75"/>
      <c r="P508" s="75"/>
      <c r="Q508" s="75"/>
      <c r="R508" s="75"/>
      <c r="S508" s="75"/>
      <c r="T508" s="75"/>
      <c r="U508" s="75"/>
      <c r="V508" s="77"/>
      <c r="W508" s="75"/>
      <c r="X508" s="75"/>
      <c r="Y508" s="75"/>
      <c r="Z508" s="78"/>
      <c r="AA508" s="78"/>
      <c r="AB508" s="75"/>
      <c r="AJ508" s="72"/>
    </row>
    <row r="509" spans="1:36" s="69" customFormat="1" x14ac:dyDescent="0.25">
      <c r="A509" s="75"/>
      <c r="B509" s="75"/>
      <c r="C509" s="76"/>
      <c r="D509" s="76"/>
      <c r="E509" s="75"/>
      <c r="F509" s="75"/>
      <c r="G509" s="75"/>
      <c r="H509" s="75"/>
      <c r="I509" s="75"/>
      <c r="J509" s="75"/>
      <c r="K509" s="75"/>
      <c r="L509" s="75"/>
      <c r="M509" s="75"/>
      <c r="N509" s="75"/>
      <c r="O509" s="75"/>
      <c r="P509" s="75"/>
      <c r="Q509" s="75"/>
      <c r="R509" s="75"/>
      <c r="S509" s="75"/>
      <c r="T509" s="75"/>
      <c r="U509" s="75"/>
      <c r="V509" s="77"/>
      <c r="W509" s="75"/>
      <c r="X509" s="75"/>
      <c r="Y509" s="75"/>
      <c r="Z509" s="78"/>
      <c r="AA509" s="78"/>
      <c r="AB509" s="75"/>
      <c r="AJ509" s="72"/>
    </row>
    <row r="510" spans="1:36" s="69" customFormat="1" x14ac:dyDescent="0.25">
      <c r="A510" s="75"/>
      <c r="B510" s="75"/>
      <c r="C510" s="76"/>
      <c r="D510" s="76"/>
      <c r="E510" s="75"/>
      <c r="F510" s="75"/>
      <c r="G510" s="75"/>
      <c r="H510" s="75"/>
      <c r="I510" s="75"/>
      <c r="J510" s="75"/>
      <c r="K510" s="75"/>
      <c r="L510" s="75"/>
      <c r="M510" s="75"/>
      <c r="N510" s="75"/>
      <c r="O510" s="75"/>
      <c r="P510" s="75"/>
      <c r="Q510" s="75"/>
      <c r="R510" s="75"/>
      <c r="S510" s="75"/>
      <c r="T510" s="75"/>
      <c r="U510" s="75"/>
      <c r="V510" s="77"/>
      <c r="W510" s="75"/>
      <c r="X510" s="75"/>
      <c r="Y510" s="75"/>
      <c r="Z510" s="78"/>
      <c r="AA510" s="78"/>
      <c r="AB510" s="75"/>
      <c r="AJ510" s="72"/>
    </row>
    <row r="511" spans="1:36" s="69" customFormat="1" x14ac:dyDescent="0.25">
      <c r="A511" s="75"/>
      <c r="B511" s="75"/>
      <c r="C511" s="76"/>
      <c r="D511" s="76"/>
      <c r="E511" s="75"/>
      <c r="F511" s="75"/>
      <c r="G511" s="75"/>
      <c r="H511" s="75"/>
      <c r="I511" s="75"/>
      <c r="J511" s="75"/>
      <c r="K511" s="75"/>
      <c r="L511" s="75"/>
      <c r="M511" s="75"/>
      <c r="N511" s="75"/>
      <c r="O511" s="75"/>
      <c r="P511" s="75"/>
      <c r="Q511" s="75"/>
      <c r="R511" s="75"/>
      <c r="S511" s="75"/>
      <c r="T511" s="75"/>
      <c r="U511" s="75"/>
      <c r="V511" s="77"/>
      <c r="W511" s="75"/>
      <c r="X511" s="75"/>
      <c r="Y511" s="75"/>
      <c r="Z511" s="78"/>
      <c r="AA511" s="78"/>
      <c r="AB511" s="75"/>
      <c r="AJ511" s="72"/>
    </row>
    <row r="512" spans="1:36" s="69" customFormat="1" x14ac:dyDescent="0.25">
      <c r="A512" s="75"/>
      <c r="B512" s="75"/>
      <c r="C512" s="76"/>
      <c r="D512" s="76"/>
      <c r="E512" s="75"/>
      <c r="F512" s="75"/>
      <c r="G512" s="75"/>
      <c r="H512" s="75"/>
      <c r="I512" s="75"/>
      <c r="J512" s="75"/>
      <c r="K512" s="75"/>
      <c r="L512" s="75"/>
      <c r="M512" s="75"/>
      <c r="N512" s="75"/>
      <c r="O512" s="75"/>
      <c r="P512" s="75"/>
      <c r="Q512" s="75"/>
      <c r="R512" s="75"/>
      <c r="S512" s="75"/>
      <c r="T512" s="75"/>
      <c r="U512" s="75"/>
      <c r="V512" s="77"/>
      <c r="W512" s="75"/>
      <c r="X512" s="75"/>
      <c r="Y512" s="75"/>
      <c r="Z512" s="78"/>
      <c r="AA512" s="78"/>
      <c r="AB512" s="75"/>
      <c r="AJ512" s="72"/>
    </row>
    <row r="513" spans="1:36" s="69" customFormat="1" x14ac:dyDescent="0.25">
      <c r="A513" s="75"/>
      <c r="B513" s="75"/>
      <c r="C513" s="76"/>
      <c r="D513" s="76"/>
      <c r="E513" s="75"/>
      <c r="F513" s="75"/>
      <c r="G513" s="75"/>
      <c r="H513" s="75"/>
      <c r="I513" s="75"/>
      <c r="J513" s="75"/>
      <c r="K513" s="75"/>
      <c r="L513" s="75"/>
      <c r="M513" s="75"/>
      <c r="N513" s="75"/>
      <c r="O513" s="75"/>
      <c r="P513" s="75"/>
      <c r="Q513" s="75"/>
      <c r="R513" s="75"/>
      <c r="S513" s="75"/>
      <c r="T513" s="75"/>
      <c r="U513" s="75"/>
      <c r="V513" s="77"/>
      <c r="W513" s="75"/>
      <c r="X513" s="75"/>
      <c r="Y513" s="75"/>
      <c r="Z513" s="78"/>
      <c r="AA513" s="78"/>
      <c r="AB513" s="75"/>
      <c r="AJ513" s="72"/>
    </row>
    <row r="514" spans="1:36" s="69" customFormat="1" x14ac:dyDescent="0.25">
      <c r="A514" s="75"/>
      <c r="B514" s="75"/>
      <c r="C514" s="76"/>
      <c r="D514" s="76"/>
      <c r="E514" s="75"/>
      <c r="F514" s="75"/>
      <c r="G514" s="75"/>
      <c r="H514" s="75"/>
      <c r="I514" s="75"/>
      <c r="J514" s="75"/>
      <c r="K514" s="75"/>
      <c r="L514" s="75"/>
      <c r="M514" s="75"/>
      <c r="N514" s="75"/>
      <c r="O514" s="75"/>
      <c r="P514" s="75"/>
      <c r="Q514" s="75"/>
      <c r="R514" s="75"/>
      <c r="S514" s="75"/>
      <c r="T514" s="75"/>
      <c r="U514" s="75"/>
      <c r="V514" s="77"/>
      <c r="W514" s="75"/>
      <c r="X514" s="75"/>
      <c r="Y514" s="75"/>
      <c r="Z514" s="78"/>
      <c r="AA514" s="78"/>
      <c r="AB514" s="75"/>
      <c r="AJ514" s="72"/>
    </row>
    <row r="515" spans="1:36" s="69" customFormat="1" x14ac:dyDescent="0.25">
      <c r="A515" s="75"/>
      <c r="B515" s="75"/>
      <c r="C515" s="76"/>
      <c r="D515" s="76"/>
      <c r="E515" s="75"/>
      <c r="F515" s="75"/>
      <c r="G515" s="75"/>
      <c r="H515" s="75"/>
      <c r="I515" s="75"/>
      <c r="J515" s="75"/>
      <c r="K515" s="75"/>
      <c r="L515" s="75"/>
      <c r="M515" s="75"/>
      <c r="N515" s="75"/>
      <c r="O515" s="75"/>
      <c r="P515" s="75"/>
      <c r="Q515" s="75"/>
      <c r="R515" s="75"/>
      <c r="S515" s="75"/>
      <c r="T515" s="75"/>
      <c r="U515" s="75"/>
      <c r="V515" s="77"/>
      <c r="W515" s="75"/>
      <c r="X515" s="75"/>
      <c r="Y515" s="75"/>
      <c r="Z515" s="78"/>
      <c r="AA515" s="78"/>
      <c r="AB515" s="75"/>
      <c r="AJ515" s="72"/>
    </row>
    <row r="516" spans="1:36" s="69" customFormat="1" x14ac:dyDescent="0.25">
      <c r="A516" s="75"/>
      <c r="B516" s="75"/>
      <c r="C516" s="76"/>
      <c r="D516" s="76"/>
      <c r="E516" s="75"/>
      <c r="F516" s="75"/>
      <c r="G516" s="75"/>
      <c r="H516" s="75"/>
      <c r="I516" s="75"/>
      <c r="J516" s="75"/>
      <c r="K516" s="75"/>
      <c r="L516" s="75"/>
      <c r="M516" s="75"/>
      <c r="N516" s="75"/>
      <c r="O516" s="75"/>
      <c r="P516" s="75"/>
      <c r="Q516" s="75"/>
      <c r="R516" s="75"/>
      <c r="S516" s="75"/>
      <c r="T516" s="75"/>
      <c r="U516" s="75"/>
      <c r="V516" s="77"/>
      <c r="W516" s="75"/>
      <c r="X516" s="75"/>
      <c r="Y516" s="75"/>
      <c r="Z516" s="78"/>
      <c r="AA516" s="78"/>
      <c r="AB516" s="75"/>
      <c r="AJ516" s="72"/>
    </row>
    <row r="517" spans="1:36" s="69" customFormat="1" x14ac:dyDescent="0.25">
      <c r="A517" s="75"/>
      <c r="B517" s="75"/>
      <c r="C517" s="76"/>
      <c r="D517" s="76"/>
      <c r="E517" s="75"/>
      <c r="F517" s="75"/>
      <c r="G517" s="75"/>
      <c r="H517" s="75"/>
      <c r="I517" s="75"/>
      <c r="J517" s="75"/>
      <c r="K517" s="75"/>
      <c r="L517" s="75"/>
      <c r="M517" s="75"/>
      <c r="N517" s="75"/>
      <c r="O517" s="75"/>
      <c r="P517" s="75"/>
      <c r="Q517" s="75"/>
      <c r="R517" s="75"/>
      <c r="S517" s="75"/>
      <c r="T517" s="75"/>
      <c r="U517" s="75"/>
      <c r="V517" s="77"/>
      <c r="W517" s="75"/>
      <c r="X517" s="75"/>
      <c r="Y517" s="75"/>
      <c r="Z517" s="78"/>
      <c r="AA517" s="78"/>
      <c r="AB517" s="75"/>
      <c r="AJ517" s="72"/>
    </row>
    <row r="518" spans="1:36" s="69" customFormat="1" x14ac:dyDescent="0.25">
      <c r="A518" s="75"/>
      <c r="B518" s="75"/>
      <c r="C518" s="76"/>
      <c r="D518" s="76"/>
      <c r="E518" s="75"/>
      <c r="F518" s="75"/>
      <c r="G518" s="75"/>
      <c r="H518" s="75"/>
      <c r="I518" s="75"/>
      <c r="J518" s="75"/>
      <c r="K518" s="75"/>
      <c r="L518" s="75"/>
      <c r="M518" s="75"/>
      <c r="N518" s="75"/>
      <c r="O518" s="75"/>
      <c r="P518" s="75"/>
      <c r="Q518" s="75"/>
      <c r="R518" s="75"/>
      <c r="S518" s="75"/>
      <c r="T518" s="75"/>
      <c r="U518" s="75"/>
      <c r="V518" s="77"/>
      <c r="W518" s="75"/>
      <c r="X518" s="75"/>
      <c r="Y518" s="75"/>
      <c r="Z518" s="78"/>
      <c r="AA518" s="78"/>
      <c r="AB518" s="75"/>
      <c r="AJ518" s="72"/>
    </row>
    <row r="519" spans="1:36" s="69" customFormat="1" x14ac:dyDescent="0.25">
      <c r="A519" s="75"/>
      <c r="B519" s="75"/>
      <c r="C519" s="76"/>
      <c r="D519" s="76"/>
      <c r="E519" s="75"/>
      <c r="F519" s="75"/>
      <c r="G519" s="75"/>
      <c r="H519" s="75"/>
      <c r="I519" s="75"/>
      <c r="J519" s="75"/>
      <c r="K519" s="75"/>
      <c r="L519" s="75"/>
      <c r="M519" s="75"/>
      <c r="N519" s="75"/>
      <c r="O519" s="75"/>
      <c r="P519" s="75"/>
      <c r="Q519" s="75"/>
      <c r="R519" s="75"/>
      <c r="S519" s="75"/>
      <c r="T519" s="75"/>
      <c r="U519" s="75"/>
      <c r="V519" s="77"/>
      <c r="W519" s="75"/>
      <c r="X519" s="75"/>
      <c r="Y519" s="75"/>
      <c r="Z519" s="78"/>
      <c r="AA519" s="78"/>
      <c r="AB519" s="75"/>
      <c r="AJ519" s="72"/>
    </row>
    <row r="520" spans="1:36" s="69" customFormat="1" x14ac:dyDescent="0.25">
      <c r="A520" s="75"/>
      <c r="B520" s="75"/>
      <c r="C520" s="76"/>
      <c r="D520" s="76"/>
      <c r="E520" s="75"/>
      <c r="F520" s="75"/>
      <c r="G520" s="75"/>
      <c r="H520" s="75"/>
      <c r="I520" s="75"/>
      <c r="J520" s="75"/>
      <c r="K520" s="75"/>
      <c r="L520" s="75"/>
      <c r="M520" s="75"/>
      <c r="N520" s="75"/>
      <c r="O520" s="75"/>
      <c r="P520" s="75"/>
      <c r="Q520" s="75"/>
      <c r="R520" s="75"/>
      <c r="S520" s="75"/>
      <c r="T520" s="75"/>
      <c r="U520" s="75"/>
      <c r="V520" s="77"/>
      <c r="W520" s="75"/>
      <c r="X520" s="75"/>
      <c r="Y520" s="75"/>
      <c r="Z520" s="78"/>
      <c r="AA520" s="78"/>
      <c r="AB520" s="75"/>
      <c r="AJ520" s="72"/>
    </row>
    <row r="521" spans="1:36" s="69" customFormat="1" x14ac:dyDescent="0.25">
      <c r="A521" s="75"/>
      <c r="B521" s="75"/>
      <c r="C521" s="76"/>
      <c r="D521" s="76"/>
      <c r="E521" s="75"/>
      <c r="F521" s="75"/>
      <c r="G521" s="75"/>
      <c r="H521" s="75"/>
      <c r="I521" s="75"/>
      <c r="J521" s="75"/>
      <c r="K521" s="75"/>
      <c r="L521" s="75"/>
      <c r="M521" s="75"/>
      <c r="N521" s="75"/>
      <c r="O521" s="75"/>
      <c r="P521" s="75"/>
      <c r="Q521" s="75"/>
      <c r="R521" s="75"/>
      <c r="S521" s="75"/>
      <c r="T521" s="75"/>
      <c r="U521" s="75"/>
      <c r="V521" s="77"/>
      <c r="W521" s="75"/>
      <c r="X521" s="75"/>
      <c r="Y521" s="75"/>
      <c r="Z521" s="78"/>
      <c r="AA521" s="78"/>
      <c r="AB521" s="75"/>
      <c r="AJ521" s="72"/>
    </row>
    <row r="522" spans="1:36" s="69" customFormat="1" x14ac:dyDescent="0.25">
      <c r="A522" s="75"/>
      <c r="B522" s="75"/>
      <c r="C522" s="76"/>
      <c r="D522" s="76"/>
      <c r="E522" s="75"/>
      <c r="F522" s="75"/>
      <c r="G522" s="75"/>
      <c r="H522" s="75"/>
      <c r="I522" s="75"/>
      <c r="J522" s="75"/>
      <c r="K522" s="75"/>
      <c r="L522" s="75"/>
      <c r="M522" s="75"/>
      <c r="N522" s="75"/>
      <c r="O522" s="75"/>
      <c r="P522" s="75"/>
      <c r="Q522" s="75"/>
      <c r="R522" s="75"/>
      <c r="S522" s="75"/>
      <c r="T522" s="75"/>
      <c r="U522" s="75"/>
      <c r="V522" s="77"/>
      <c r="W522" s="75"/>
      <c r="X522" s="75"/>
      <c r="Y522" s="75"/>
      <c r="Z522" s="78"/>
      <c r="AA522" s="78"/>
      <c r="AB522" s="75"/>
      <c r="AJ522" s="72"/>
    </row>
    <row r="523" spans="1:36" s="69" customFormat="1" x14ac:dyDescent="0.25">
      <c r="A523" s="75"/>
      <c r="B523" s="75"/>
      <c r="C523" s="76"/>
      <c r="D523" s="76"/>
      <c r="E523" s="75"/>
      <c r="F523" s="75"/>
      <c r="G523" s="75"/>
      <c r="H523" s="75"/>
      <c r="I523" s="75"/>
      <c r="J523" s="75"/>
      <c r="K523" s="75"/>
      <c r="L523" s="75"/>
      <c r="M523" s="75"/>
      <c r="N523" s="75"/>
      <c r="O523" s="75"/>
      <c r="P523" s="75"/>
      <c r="Q523" s="75"/>
      <c r="R523" s="75"/>
      <c r="S523" s="75"/>
      <c r="T523" s="75"/>
      <c r="U523" s="75"/>
      <c r="V523" s="77"/>
      <c r="W523" s="75"/>
      <c r="X523" s="75"/>
      <c r="Y523" s="75"/>
      <c r="Z523" s="78"/>
      <c r="AA523" s="78"/>
      <c r="AB523" s="75"/>
      <c r="AJ523" s="72"/>
    </row>
    <row r="524" spans="1:36" s="69" customFormat="1" x14ac:dyDescent="0.25">
      <c r="A524" s="75"/>
      <c r="B524" s="75"/>
      <c r="C524" s="76"/>
      <c r="D524" s="76"/>
      <c r="E524" s="75"/>
      <c r="F524" s="75"/>
      <c r="G524" s="75"/>
      <c r="H524" s="75"/>
      <c r="I524" s="75"/>
      <c r="J524" s="75"/>
      <c r="K524" s="75"/>
      <c r="L524" s="75"/>
      <c r="M524" s="75"/>
      <c r="N524" s="75"/>
      <c r="O524" s="75"/>
      <c r="P524" s="75"/>
      <c r="Q524" s="75"/>
      <c r="R524" s="75"/>
      <c r="S524" s="75"/>
      <c r="T524" s="75"/>
      <c r="U524" s="75"/>
      <c r="V524" s="77"/>
      <c r="W524" s="75"/>
      <c r="X524" s="75"/>
      <c r="Y524" s="75"/>
      <c r="Z524" s="78"/>
      <c r="AA524" s="78"/>
      <c r="AB524" s="75"/>
      <c r="AJ524" s="72"/>
    </row>
    <row r="525" spans="1:36" s="69" customFormat="1" x14ac:dyDescent="0.25">
      <c r="A525" s="75"/>
      <c r="B525" s="75"/>
      <c r="C525" s="76"/>
      <c r="D525" s="76"/>
      <c r="E525" s="75"/>
      <c r="F525" s="75"/>
      <c r="G525" s="75"/>
      <c r="H525" s="75"/>
      <c r="I525" s="75"/>
      <c r="J525" s="75"/>
      <c r="K525" s="75"/>
      <c r="L525" s="75"/>
      <c r="M525" s="75"/>
      <c r="N525" s="75"/>
      <c r="O525" s="75"/>
      <c r="P525" s="75"/>
      <c r="Q525" s="75"/>
      <c r="R525" s="75"/>
      <c r="S525" s="75"/>
      <c r="T525" s="75"/>
      <c r="U525" s="75"/>
      <c r="V525" s="77"/>
      <c r="W525" s="75"/>
      <c r="X525" s="75"/>
      <c r="Y525" s="75"/>
      <c r="Z525" s="78"/>
      <c r="AA525" s="78"/>
      <c r="AB525" s="75"/>
      <c r="AJ525" s="72"/>
    </row>
    <row r="526" spans="1:36" s="69" customFormat="1" x14ac:dyDescent="0.25">
      <c r="A526" s="75"/>
      <c r="B526" s="75"/>
      <c r="C526" s="76"/>
      <c r="D526" s="76"/>
      <c r="E526" s="75"/>
      <c r="F526" s="75"/>
      <c r="G526" s="75"/>
      <c r="H526" s="75"/>
      <c r="I526" s="75"/>
      <c r="J526" s="75"/>
      <c r="K526" s="75"/>
      <c r="L526" s="75"/>
      <c r="M526" s="75"/>
      <c r="N526" s="75"/>
      <c r="O526" s="75"/>
      <c r="P526" s="75"/>
      <c r="Q526" s="75"/>
      <c r="R526" s="75"/>
      <c r="S526" s="75"/>
      <c r="T526" s="75"/>
      <c r="U526" s="75"/>
      <c r="V526" s="77"/>
      <c r="W526" s="75"/>
      <c r="X526" s="75"/>
      <c r="Y526" s="75"/>
      <c r="Z526" s="78"/>
      <c r="AA526" s="78"/>
      <c r="AB526" s="75"/>
      <c r="AJ526" s="72"/>
    </row>
    <row r="527" spans="1:36" s="69" customFormat="1" x14ac:dyDescent="0.25">
      <c r="A527" s="75"/>
      <c r="B527" s="75"/>
      <c r="C527" s="76"/>
      <c r="D527" s="76"/>
      <c r="E527" s="75"/>
      <c r="F527" s="75"/>
      <c r="G527" s="75"/>
      <c r="H527" s="75"/>
      <c r="I527" s="75"/>
      <c r="J527" s="75"/>
      <c r="K527" s="75"/>
      <c r="L527" s="75"/>
      <c r="M527" s="75"/>
      <c r="N527" s="75"/>
      <c r="O527" s="75"/>
      <c r="P527" s="75"/>
      <c r="Q527" s="75"/>
      <c r="R527" s="75"/>
      <c r="S527" s="75"/>
      <c r="T527" s="75"/>
      <c r="U527" s="75"/>
      <c r="V527" s="77"/>
      <c r="W527" s="75"/>
      <c r="X527" s="75"/>
      <c r="Y527" s="75"/>
      <c r="Z527" s="78"/>
      <c r="AA527" s="78"/>
      <c r="AB527" s="75"/>
      <c r="AJ527" s="72"/>
    </row>
    <row r="528" spans="1:36" s="69" customFormat="1" x14ac:dyDescent="0.25">
      <c r="A528" s="75"/>
      <c r="B528" s="75"/>
      <c r="C528" s="76"/>
      <c r="D528" s="76"/>
      <c r="E528" s="75"/>
      <c r="F528" s="75"/>
      <c r="G528" s="75"/>
      <c r="H528" s="75"/>
      <c r="I528" s="75"/>
      <c r="J528" s="75"/>
      <c r="K528" s="75"/>
      <c r="L528" s="75"/>
      <c r="M528" s="75"/>
      <c r="N528" s="75"/>
      <c r="O528" s="75"/>
      <c r="P528" s="75"/>
      <c r="Q528" s="75"/>
      <c r="R528" s="75"/>
      <c r="S528" s="75"/>
      <c r="T528" s="75"/>
      <c r="U528" s="75"/>
      <c r="V528" s="77"/>
      <c r="W528" s="75"/>
      <c r="X528" s="75"/>
      <c r="Y528" s="75"/>
      <c r="Z528" s="78"/>
      <c r="AA528" s="78"/>
      <c r="AB528" s="75"/>
      <c r="AJ528" s="72"/>
    </row>
    <row r="529" spans="1:36" s="69" customFormat="1" x14ac:dyDescent="0.25">
      <c r="A529" s="75"/>
      <c r="B529" s="75"/>
      <c r="C529" s="76"/>
      <c r="D529" s="76"/>
      <c r="E529" s="75"/>
      <c r="F529" s="75"/>
      <c r="G529" s="75"/>
      <c r="H529" s="75"/>
      <c r="I529" s="75"/>
      <c r="J529" s="75"/>
      <c r="K529" s="75"/>
      <c r="L529" s="75"/>
      <c r="M529" s="75"/>
      <c r="N529" s="75"/>
      <c r="O529" s="75"/>
      <c r="P529" s="75"/>
      <c r="Q529" s="75"/>
      <c r="R529" s="75"/>
      <c r="S529" s="75"/>
      <c r="T529" s="75"/>
      <c r="U529" s="75"/>
      <c r="V529" s="77"/>
      <c r="W529" s="75"/>
      <c r="X529" s="75"/>
      <c r="Y529" s="75"/>
      <c r="Z529" s="78"/>
      <c r="AA529" s="78"/>
      <c r="AB529" s="75"/>
      <c r="AJ529" s="72"/>
    </row>
    <row r="530" spans="1:36" s="69" customFormat="1" x14ac:dyDescent="0.25">
      <c r="A530" s="75"/>
      <c r="B530" s="75"/>
      <c r="C530" s="76"/>
      <c r="D530" s="76"/>
      <c r="E530" s="75"/>
      <c r="F530" s="75"/>
      <c r="G530" s="75"/>
      <c r="H530" s="75"/>
      <c r="I530" s="75"/>
      <c r="J530" s="75"/>
      <c r="K530" s="75"/>
      <c r="L530" s="75"/>
      <c r="M530" s="75"/>
      <c r="N530" s="75"/>
      <c r="O530" s="75"/>
      <c r="P530" s="75"/>
      <c r="Q530" s="75"/>
      <c r="R530" s="75"/>
      <c r="S530" s="75"/>
      <c r="T530" s="75"/>
      <c r="U530" s="75"/>
      <c r="V530" s="77"/>
      <c r="W530" s="75"/>
      <c r="X530" s="75"/>
      <c r="Y530" s="75"/>
      <c r="Z530" s="78"/>
      <c r="AA530" s="78"/>
      <c r="AB530" s="75"/>
      <c r="AJ530" s="72"/>
    </row>
    <row r="531" spans="1:36" s="69" customFormat="1" x14ac:dyDescent="0.25">
      <c r="A531" s="75"/>
      <c r="B531" s="75"/>
      <c r="C531" s="76"/>
      <c r="D531" s="76"/>
      <c r="E531" s="75"/>
      <c r="F531" s="75"/>
      <c r="G531" s="75"/>
      <c r="H531" s="75"/>
      <c r="I531" s="75"/>
      <c r="J531" s="75"/>
      <c r="K531" s="75"/>
      <c r="L531" s="75"/>
      <c r="M531" s="75"/>
      <c r="N531" s="75"/>
      <c r="O531" s="75"/>
      <c r="P531" s="75"/>
      <c r="Q531" s="75"/>
      <c r="R531" s="75"/>
      <c r="S531" s="75"/>
      <c r="T531" s="75"/>
      <c r="U531" s="75"/>
      <c r="V531" s="77"/>
      <c r="W531" s="75"/>
      <c r="X531" s="75"/>
      <c r="Y531" s="75"/>
      <c r="Z531" s="78"/>
      <c r="AA531" s="78"/>
      <c r="AB531" s="75"/>
      <c r="AJ531" s="72"/>
    </row>
    <row r="532" spans="1:36" s="69" customFormat="1" x14ac:dyDescent="0.25">
      <c r="A532" s="75"/>
      <c r="B532" s="75"/>
      <c r="C532" s="76"/>
      <c r="D532" s="76"/>
      <c r="E532" s="75"/>
      <c r="F532" s="75"/>
      <c r="G532" s="75"/>
      <c r="H532" s="75"/>
      <c r="I532" s="75"/>
      <c r="J532" s="75"/>
      <c r="K532" s="75"/>
      <c r="L532" s="75"/>
      <c r="M532" s="75"/>
      <c r="N532" s="75"/>
      <c r="O532" s="75"/>
      <c r="P532" s="75"/>
      <c r="Q532" s="75"/>
      <c r="R532" s="75"/>
      <c r="S532" s="75"/>
      <c r="T532" s="75"/>
      <c r="U532" s="75"/>
      <c r="V532" s="77"/>
      <c r="W532" s="75"/>
      <c r="X532" s="75"/>
      <c r="Y532" s="75"/>
      <c r="Z532" s="78"/>
      <c r="AA532" s="78"/>
      <c r="AB532" s="75"/>
      <c r="AJ532" s="72"/>
    </row>
    <row r="533" spans="1:36" s="69" customFormat="1" x14ac:dyDescent="0.25">
      <c r="A533" s="75"/>
      <c r="B533" s="75"/>
      <c r="C533" s="76"/>
      <c r="D533" s="76"/>
      <c r="E533" s="75"/>
      <c r="F533" s="75"/>
      <c r="G533" s="75"/>
      <c r="H533" s="75"/>
      <c r="I533" s="75"/>
      <c r="J533" s="75"/>
      <c r="K533" s="75"/>
      <c r="L533" s="75"/>
      <c r="M533" s="75"/>
      <c r="N533" s="75"/>
      <c r="O533" s="75"/>
      <c r="P533" s="75"/>
      <c r="Q533" s="75"/>
      <c r="R533" s="75"/>
      <c r="S533" s="75"/>
      <c r="T533" s="75"/>
      <c r="U533" s="75"/>
      <c r="V533" s="77"/>
      <c r="W533" s="75"/>
      <c r="X533" s="75"/>
      <c r="Y533" s="75"/>
      <c r="Z533" s="78"/>
      <c r="AA533" s="78"/>
      <c r="AB533" s="75"/>
      <c r="AJ533" s="72"/>
    </row>
    <row r="534" spans="1:36" s="69" customFormat="1" x14ac:dyDescent="0.25">
      <c r="A534" s="75"/>
      <c r="B534" s="75"/>
      <c r="C534" s="76"/>
      <c r="D534" s="76"/>
      <c r="E534" s="75"/>
      <c r="F534" s="75"/>
      <c r="G534" s="75"/>
      <c r="H534" s="75"/>
      <c r="I534" s="75"/>
      <c r="J534" s="75"/>
      <c r="K534" s="75"/>
      <c r="L534" s="75"/>
      <c r="M534" s="75"/>
      <c r="N534" s="75"/>
      <c r="O534" s="75"/>
      <c r="P534" s="75"/>
      <c r="Q534" s="75"/>
      <c r="R534" s="75"/>
      <c r="S534" s="75"/>
      <c r="T534" s="75"/>
      <c r="U534" s="75"/>
      <c r="V534" s="77"/>
      <c r="W534" s="75"/>
      <c r="X534" s="75"/>
      <c r="Y534" s="75"/>
      <c r="Z534" s="78"/>
      <c r="AA534" s="78"/>
      <c r="AB534" s="75"/>
      <c r="AJ534" s="72"/>
    </row>
    <row r="535" spans="1:36" s="69" customFormat="1" x14ac:dyDescent="0.25">
      <c r="A535" s="75"/>
      <c r="B535" s="75"/>
      <c r="C535" s="76"/>
      <c r="D535" s="76"/>
      <c r="E535" s="75"/>
      <c r="F535" s="75"/>
      <c r="G535" s="75"/>
      <c r="H535" s="75"/>
      <c r="I535" s="75"/>
      <c r="J535" s="75"/>
      <c r="K535" s="75"/>
      <c r="L535" s="75"/>
      <c r="M535" s="75"/>
      <c r="N535" s="75"/>
      <c r="O535" s="75"/>
      <c r="P535" s="75"/>
      <c r="Q535" s="75"/>
      <c r="R535" s="75"/>
      <c r="S535" s="75"/>
      <c r="T535" s="75"/>
      <c r="U535" s="75"/>
      <c r="V535" s="77"/>
      <c r="W535" s="75"/>
      <c r="X535" s="75"/>
      <c r="Y535" s="75"/>
      <c r="Z535" s="78"/>
      <c r="AA535" s="78"/>
      <c r="AB535" s="75"/>
      <c r="AJ535" s="72"/>
    </row>
    <row r="536" spans="1:36" s="69" customFormat="1" x14ac:dyDescent="0.25">
      <c r="A536" s="75"/>
      <c r="B536" s="75"/>
      <c r="C536" s="76"/>
      <c r="D536" s="76"/>
      <c r="E536" s="75"/>
      <c r="F536" s="75"/>
      <c r="G536" s="75"/>
      <c r="H536" s="75"/>
      <c r="I536" s="75"/>
      <c r="J536" s="75"/>
      <c r="K536" s="75"/>
      <c r="L536" s="75"/>
      <c r="M536" s="75"/>
      <c r="N536" s="75"/>
      <c r="O536" s="75"/>
      <c r="P536" s="75"/>
      <c r="Q536" s="75"/>
      <c r="R536" s="75"/>
      <c r="S536" s="75"/>
      <c r="T536" s="75"/>
      <c r="U536" s="75"/>
      <c r="V536" s="77"/>
      <c r="W536" s="75"/>
      <c r="X536" s="75"/>
      <c r="Y536" s="75"/>
      <c r="Z536" s="78"/>
      <c r="AA536" s="78"/>
      <c r="AB536" s="75"/>
      <c r="AJ536" s="72"/>
    </row>
    <row r="537" spans="1:36" s="69" customFormat="1" x14ac:dyDescent="0.25">
      <c r="A537" s="75"/>
      <c r="B537" s="75"/>
      <c r="C537" s="76"/>
      <c r="D537" s="76"/>
      <c r="E537" s="75"/>
      <c r="F537" s="75"/>
      <c r="G537" s="75"/>
      <c r="H537" s="75"/>
      <c r="I537" s="75"/>
      <c r="J537" s="75"/>
      <c r="K537" s="75"/>
      <c r="L537" s="75"/>
      <c r="M537" s="75"/>
      <c r="N537" s="75"/>
      <c r="O537" s="75"/>
      <c r="P537" s="75"/>
      <c r="Q537" s="75"/>
      <c r="R537" s="75"/>
      <c r="S537" s="75"/>
      <c r="T537" s="75"/>
      <c r="U537" s="75"/>
      <c r="V537" s="77"/>
      <c r="W537" s="75"/>
      <c r="X537" s="75"/>
      <c r="Y537" s="75"/>
      <c r="Z537" s="78"/>
      <c r="AA537" s="78"/>
      <c r="AB537" s="75"/>
      <c r="AJ537" s="72"/>
    </row>
    <row r="538" spans="1:36" s="69" customFormat="1" x14ac:dyDescent="0.25">
      <c r="A538" s="75"/>
      <c r="B538" s="75"/>
      <c r="C538" s="76"/>
      <c r="D538" s="76"/>
      <c r="E538" s="75"/>
      <c r="F538" s="75"/>
      <c r="G538" s="75"/>
      <c r="H538" s="75"/>
      <c r="I538" s="75"/>
      <c r="J538" s="75"/>
      <c r="K538" s="75"/>
      <c r="L538" s="75"/>
      <c r="M538" s="75"/>
      <c r="N538" s="75"/>
      <c r="O538" s="75"/>
      <c r="P538" s="75"/>
      <c r="Q538" s="75"/>
      <c r="R538" s="75"/>
      <c r="S538" s="75"/>
      <c r="T538" s="75"/>
      <c r="U538" s="75"/>
      <c r="V538" s="77"/>
      <c r="W538" s="75"/>
      <c r="X538" s="75"/>
      <c r="Y538" s="75"/>
      <c r="Z538" s="78"/>
      <c r="AA538" s="78"/>
      <c r="AB538" s="75"/>
      <c r="AJ538" s="72"/>
    </row>
    <row r="539" spans="1:36" s="69" customFormat="1" x14ac:dyDescent="0.25">
      <c r="A539" s="75"/>
      <c r="B539" s="75"/>
      <c r="C539" s="76"/>
      <c r="D539" s="76"/>
      <c r="E539" s="75"/>
      <c r="F539" s="75"/>
      <c r="G539" s="75"/>
      <c r="H539" s="75"/>
      <c r="I539" s="75"/>
      <c r="J539" s="75"/>
      <c r="K539" s="75"/>
      <c r="L539" s="75"/>
      <c r="M539" s="75"/>
      <c r="N539" s="75"/>
      <c r="O539" s="75"/>
      <c r="P539" s="75"/>
      <c r="Q539" s="75"/>
      <c r="R539" s="75"/>
      <c r="S539" s="75"/>
      <c r="T539" s="75"/>
      <c r="U539" s="75"/>
      <c r="V539" s="77"/>
      <c r="W539" s="75"/>
      <c r="X539" s="75"/>
      <c r="Y539" s="75"/>
      <c r="Z539" s="78"/>
      <c r="AA539" s="78"/>
      <c r="AB539" s="75"/>
      <c r="AJ539" s="72"/>
    </row>
    <row r="540" spans="1:36" s="69" customFormat="1" x14ac:dyDescent="0.25">
      <c r="A540" s="75"/>
      <c r="B540" s="75"/>
      <c r="C540" s="76"/>
      <c r="D540" s="76"/>
      <c r="E540" s="75"/>
      <c r="F540" s="75"/>
      <c r="G540" s="75"/>
      <c r="H540" s="75"/>
      <c r="I540" s="75"/>
      <c r="J540" s="75"/>
      <c r="K540" s="75"/>
      <c r="L540" s="75"/>
      <c r="M540" s="75"/>
      <c r="N540" s="75"/>
      <c r="O540" s="75"/>
      <c r="P540" s="75"/>
      <c r="Q540" s="75"/>
      <c r="R540" s="75"/>
      <c r="S540" s="75"/>
      <c r="T540" s="75"/>
      <c r="U540" s="75"/>
      <c r="V540" s="77"/>
      <c r="W540" s="75"/>
      <c r="X540" s="75"/>
      <c r="Y540" s="75"/>
      <c r="Z540" s="78"/>
      <c r="AA540" s="78"/>
      <c r="AB540" s="75"/>
      <c r="AJ540" s="72"/>
    </row>
    <row r="541" spans="1:36" s="69" customFormat="1" x14ac:dyDescent="0.25">
      <c r="A541" s="75"/>
      <c r="B541" s="75"/>
      <c r="C541" s="76"/>
      <c r="D541" s="76"/>
      <c r="E541" s="75"/>
      <c r="F541" s="75"/>
      <c r="G541" s="75"/>
      <c r="H541" s="75"/>
      <c r="I541" s="75"/>
      <c r="J541" s="75"/>
      <c r="K541" s="75"/>
      <c r="L541" s="75"/>
      <c r="M541" s="75"/>
      <c r="N541" s="75"/>
      <c r="O541" s="75"/>
      <c r="P541" s="75"/>
      <c r="Q541" s="75"/>
      <c r="R541" s="75"/>
      <c r="S541" s="75"/>
      <c r="T541" s="75"/>
      <c r="U541" s="75"/>
      <c r="V541" s="77"/>
      <c r="W541" s="75"/>
      <c r="X541" s="75"/>
      <c r="Y541" s="75"/>
      <c r="Z541" s="78"/>
      <c r="AA541" s="78"/>
      <c r="AB541" s="75"/>
      <c r="AJ541" s="72"/>
    </row>
    <row r="542" spans="1:36" s="69" customFormat="1" x14ac:dyDescent="0.25">
      <c r="A542" s="75"/>
      <c r="B542" s="75"/>
      <c r="C542" s="76"/>
      <c r="D542" s="76"/>
      <c r="E542" s="75"/>
      <c r="F542" s="75"/>
      <c r="G542" s="75"/>
      <c r="H542" s="75"/>
      <c r="I542" s="75"/>
      <c r="J542" s="75"/>
      <c r="K542" s="75"/>
      <c r="L542" s="75"/>
      <c r="M542" s="75"/>
      <c r="N542" s="75"/>
      <c r="O542" s="75"/>
      <c r="P542" s="75"/>
      <c r="Q542" s="75"/>
      <c r="R542" s="75"/>
      <c r="S542" s="75"/>
      <c r="T542" s="75"/>
      <c r="U542" s="75"/>
      <c r="V542" s="77"/>
      <c r="W542" s="75"/>
      <c r="X542" s="75"/>
      <c r="Y542" s="75"/>
      <c r="Z542" s="78"/>
      <c r="AA542" s="78"/>
      <c r="AB542" s="75"/>
      <c r="AJ542" s="72"/>
    </row>
    <row r="543" spans="1:36" s="69" customFormat="1" x14ac:dyDescent="0.25">
      <c r="A543" s="75"/>
      <c r="B543" s="75"/>
      <c r="C543" s="76"/>
      <c r="D543" s="76"/>
      <c r="E543" s="75"/>
      <c r="F543" s="75"/>
      <c r="G543" s="75"/>
      <c r="H543" s="75"/>
      <c r="I543" s="75"/>
      <c r="J543" s="75"/>
      <c r="K543" s="75"/>
      <c r="L543" s="75"/>
      <c r="M543" s="75"/>
      <c r="N543" s="75"/>
      <c r="O543" s="75"/>
      <c r="P543" s="75"/>
      <c r="Q543" s="75"/>
      <c r="R543" s="75"/>
      <c r="S543" s="75"/>
      <c r="T543" s="75"/>
      <c r="U543" s="75"/>
      <c r="V543" s="77"/>
      <c r="W543" s="75"/>
      <c r="X543" s="75"/>
      <c r="Y543" s="75"/>
      <c r="Z543" s="78"/>
      <c r="AA543" s="78"/>
      <c r="AB543" s="75"/>
      <c r="AJ543" s="72"/>
    </row>
    <row r="544" spans="1:36" s="69" customFormat="1" x14ac:dyDescent="0.25">
      <c r="A544" s="75"/>
      <c r="B544" s="75"/>
      <c r="C544" s="76"/>
      <c r="D544" s="76"/>
      <c r="E544" s="75"/>
      <c r="F544" s="75"/>
      <c r="G544" s="75"/>
      <c r="H544" s="75"/>
      <c r="I544" s="75"/>
      <c r="J544" s="75"/>
      <c r="K544" s="75"/>
      <c r="L544" s="75"/>
      <c r="M544" s="75"/>
      <c r="N544" s="75"/>
      <c r="O544" s="75"/>
      <c r="P544" s="75"/>
      <c r="Q544" s="75"/>
      <c r="R544" s="75"/>
      <c r="S544" s="75"/>
      <c r="T544" s="75"/>
      <c r="U544" s="75"/>
      <c r="V544" s="77"/>
      <c r="W544" s="75"/>
      <c r="X544" s="75"/>
      <c r="Y544" s="75"/>
      <c r="Z544" s="78"/>
      <c r="AA544" s="78"/>
      <c r="AB544" s="75"/>
      <c r="AJ544" s="72"/>
    </row>
    <row r="545" spans="1:36" s="69" customFormat="1" x14ac:dyDescent="0.25">
      <c r="A545" s="75"/>
      <c r="B545" s="75"/>
      <c r="C545" s="76"/>
      <c r="D545" s="76"/>
      <c r="E545" s="75"/>
      <c r="F545" s="75"/>
      <c r="G545" s="75"/>
      <c r="H545" s="75"/>
      <c r="I545" s="75"/>
      <c r="J545" s="75"/>
      <c r="K545" s="75"/>
      <c r="L545" s="75"/>
      <c r="M545" s="75"/>
      <c r="N545" s="75"/>
      <c r="O545" s="75"/>
      <c r="P545" s="75"/>
      <c r="Q545" s="75"/>
      <c r="R545" s="75"/>
      <c r="S545" s="75"/>
      <c r="T545" s="75"/>
      <c r="U545" s="75"/>
      <c r="V545" s="77"/>
      <c r="W545" s="75"/>
      <c r="X545" s="75"/>
      <c r="Y545" s="75"/>
      <c r="Z545" s="78"/>
      <c r="AA545" s="78"/>
      <c r="AB545" s="75"/>
      <c r="AJ545" s="72"/>
    </row>
    <row r="546" spans="1:36" s="69" customFormat="1" x14ac:dyDescent="0.25">
      <c r="A546" s="75"/>
      <c r="B546" s="75"/>
      <c r="C546" s="76"/>
      <c r="D546" s="76"/>
      <c r="E546" s="75"/>
      <c r="F546" s="75"/>
      <c r="G546" s="75"/>
      <c r="H546" s="75"/>
      <c r="I546" s="75"/>
      <c r="J546" s="75"/>
      <c r="K546" s="75"/>
      <c r="L546" s="75"/>
      <c r="M546" s="75"/>
      <c r="N546" s="75"/>
      <c r="O546" s="75"/>
      <c r="P546" s="75"/>
      <c r="Q546" s="75"/>
      <c r="R546" s="75"/>
      <c r="S546" s="75"/>
      <c r="T546" s="75"/>
      <c r="U546" s="75"/>
      <c r="V546" s="77"/>
      <c r="W546" s="75"/>
      <c r="X546" s="75"/>
      <c r="Y546" s="75"/>
      <c r="Z546" s="78"/>
      <c r="AA546" s="78"/>
      <c r="AB546" s="75"/>
      <c r="AJ546" s="72"/>
    </row>
    <row r="547" spans="1:36" s="69" customFormat="1" x14ac:dyDescent="0.25">
      <c r="A547" s="75"/>
      <c r="B547" s="75"/>
      <c r="C547" s="76"/>
      <c r="D547" s="76"/>
      <c r="E547" s="75"/>
      <c r="F547" s="75"/>
      <c r="G547" s="75"/>
      <c r="H547" s="75"/>
      <c r="I547" s="75"/>
      <c r="J547" s="75"/>
      <c r="K547" s="75"/>
      <c r="L547" s="75"/>
      <c r="M547" s="75"/>
      <c r="N547" s="75"/>
      <c r="O547" s="75"/>
      <c r="P547" s="75"/>
      <c r="Q547" s="75"/>
      <c r="R547" s="75"/>
      <c r="S547" s="75"/>
      <c r="T547" s="75"/>
      <c r="U547" s="75"/>
      <c r="V547" s="77"/>
      <c r="W547" s="75"/>
      <c r="X547" s="75"/>
      <c r="Y547" s="75"/>
      <c r="Z547" s="78"/>
      <c r="AA547" s="78"/>
      <c r="AB547" s="75"/>
      <c r="AJ547" s="72"/>
    </row>
    <row r="548" spans="1:36" s="69" customFormat="1" x14ac:dyDescent="0.25">
      <c r="A548" s="75"/>
      <c r="B548" s="75"/>
      <c r="C548" s="76"/>
      <c r="D548" s="76"/>
      <c r="E548" s="75"/>
      <c r="F548" s="75"/>
      <c r="G548" s="75"/>
      <c r="H548" s="75"/>
      <c r="I548" s="75"/>
      <c r="J548" s="75"/>
      <c r="K548" s="75"/>
      <c r="L548" s="75"/>
      <c r="M548" s="75"/>
      <c r="N548" s="75"/>
      <c r="O548" s="75"/>
      <c r="P548" s="75"/>
      <c r="Q548" s="75"/>
      <c r="R548" s="75"/>
      <c r="S548" s="75"/>
      <c r="T548" s="75"/>
      <c r="U548" s="75"/>
      <c r="V548" s="77"/>
      <c r="W548" s="75"/>
      <c r="X548" s="75"/>
      <c r="Y548" s="75"/>
      <c r="Z548" s="78"/>
      <c r="AA548" s="78"/>
      <c r="AB548" s="75"/>
      <c r="AJ548" s="72"/>
    </row>
    <row r="549" spans="1:36" s="69" customFormat="1" x14ac:dyDescent="0.25">
      <c r="A549" s="75"/>
      <c r="B549" s="75"/>
      <c r="C549" s="76"/>
      <c r="D549" s="76"/>
      <c r="E549" s="75"/>
      <c r="F549" s="75"/>
      <c r="G549" s="75"/>
      <c r="H549" s="75"/>
      <c r="I549" s="75"/>
      <c r="J549" s="75"/>
      <c r="K549" s="75"/>
      <c r="L549" s="75"/>
      <c r="M549" s="75"/>
      <c r="N549" s="75"/>
      <c r="O549" s="75"/>
      <c r="P549" s="75"/>
      <c r="Q549" s="75"/>
      <c r="R549" s="75"/>
      <c r="S549" s="75"/>
      <c r="T549" s="75"/>
      <c r="U549" s="75"/>
      <c r="V549" s="77"/>
      <c r="W549" s="75"/>
      <c r="X549" s="75"/>
      <c r="Y549" s="75"/>
      <c r="Z549" s="78"/>
      <c r="AA549" s="78"/>
      <c r="AB549" s="75"/>
      <c r="AJ549" s="72"/>
    </row>
    <row r="550" spans="1:36" s="69" customFormat="1" x14ac:dyDescent="0.25">
      <c r="A550" s="75"/>
      <c r="B550" s="75"/>
      <c r="C550" s="76"/>
      <c r="D550" s="76"/>
      <c r="E550" s="75"/>
      <c r="F550" s="75"/>
      <c r="G550" s="75"/>
      <c r="H550" s="75"/>
      <c r="I550" s="75"/>
      <c r="J550" s="75"/>
      <c r="K550" s="75"/>
      <c r="L550" s="75"/>
      <c r="M550" s="75"/>
      <c r="N550" s="75"/>
      <c r="O550" s="75"/>
      <c r="P550" s="75"/>
      <c r="Q550" s="75"/>
      <c r="R550" s="75"/>
      <c r="S550" s="75"/>
      <c r="T550" s="75"/>
      <c r="U550" s="75"/>
      <c r="V550" s="77"/>
      <c r="W550" s="75"/>
      <c r="X550" s="75"/>
      <c r="Y550" s="75"/>
      <c r="Z550" s="78"/>
      <c r="AA550" s="78"/>
      <c r="AB550" s="75"/>
      <c r="AJ550" s="72"/>
    </row>
    <row r="551" spans="1:36" s="69" customFormat="1" x14ac:dyDescent="0.25">
      <c r="A551" s="75"/>
      <c r="B551" s="75"/>
      <c r="C551" s="76"/>
      <c r="D551" s="76"/>
      <c r="E551" s="75"/>
      <c r="F551" s="75"/>
      <c r="G551" s="75"/>
      <c r="H551" s="75"/>
      <c r="I551" s="75"/>
      <c r="J551" s="75"/>
      <c r="K551" s="75"/>
      <c r="L551" s="75"/>
      <c r="M551" s="75"/>
      <c r="N551" s="75"/>
      <c r="O551" s="75"/>
      <c r="P551" s="75"/>
      <c r="Q551" s="75"/>
      <c r="R551" s="75"/>
      <c r="S551" s="75"/>
      <c r="T551" s="75"/>
      <c r="U551" s="75"/>
      <c r="V551" s="77"/>
      <c r="W551" s="75"/>
      <c r="X551" s="75"/>
      <c r="Y551" s="75"/>
      <c r="Z551" s="78"/>
      <c r="AA551" s="78"/>
      <c r="AB551" s="75"/>
      <c r="AJ551" s="72"/>
    </row>
    <row r="552" spans="1:36" s="69" customFormat="1" x14ac:dyDescent="0.25">
      <c r="A552" s="75"/>
      <c r="B552" s="75"/>
      <c r="C552" s="76"/>
      <c r="D552" s="76"/>
      <c r="E552" s="75"/>
      <c r="F552" s="75"/>
      <c r="G552" s="75"/>
      <c r="H552" s="75"/>
      <c r="I552" s="75"/>
      <c r="J552" s="75"/>
      <c r="K552" s="75"/>
      <c r="L552" s="75"/>
      <c r="M552" s="75"/>
      <c r="N552" s="75"/>
      <c r="O552" s="75"/>
      <c r="P552" s="75"/>
      <c r="Q552" s="75"/>
      <c r="R552" s="75"/>
      <c r="S552" s="75"/>
      <c r="T552" s="75"/>
      <c r="U552" s="75"/>
      <c r="V552" s="77"/>
      <c r="W552" s="75"/>
      <c r="X552" s="75"/>
      <c r="Y552" s="75"/>
      <c r="Z552" s="78"/>
      <c r="AA552" s="78"/>
      <c r="AB552" s="75"/>
      <c r="AJ552" s="72"/>
    </row>
    <row r="553" spans="1:36" s="69" customFormat="1" x14ac:dyDescent="0.25">
      <c r="A553" s="75"/>
      <c r="B553" s="75"/>
      <c r="C553" s="76"/>
      <c r="D553" s="76"/>
      <c r="E553" s="75"/>
      <c r="F553" s="75"/>
      <c r="G553" s="75"/>
      <c r="H553" s="75"/>
      <c r="I553" s="75"/>
      <c r="J553" s="75"/>
      <c r="K553" s="75"/>
      <c r="L553" s="75"/>
      <c r="M553" s="75"/>
      <c r="N553" s="75"/>
      <c r="O553" s="75"/>
      <c r="P553" s="75"/>
      <c r="Q553" s="75"/>
      <c r="R553" s="75"/>
      <c r="S553" s="75"/>
      <c r="T553" s="75"/>
      <c r="U553" s="75"/>
      <c r="V553" s="77"/>
      <c r="W553" s="75"/>
      <c r="X553" s="75"/>
      <c r="Y553" s="75"/>
      <c r="Z553" s="78"/>
      <c r="AA553" s="78"/>
      <c r="AB553" s="75"/>
      <c r="AJ553" s="72"/>
    </row>
    <row r="554" spans="1:36" s="69" customFormat="1" x14ac:dyDescent="0.25">
      <c r="A554" s="75"/>
      <c r="B554" s="75"/>
      <c r="C554" s="76"/>
      <c r="D554" s="76"/>
      <c r="E554" s="75"/>
      <c r="F554" s="75"/>
      <c r="G554" s="75"/>
      <c r="H554" s="75"/>
      <c r="I554" s="75"/>
      <c r="J554" s="75"/>
      <c r="K554" s="75"/>
      <c r="L554" s="75"/>
      <c r="M554" s="75"/>
      <c r="N554" s="75"/>
      <c r="O554" s="75"/>
      <c r="P554" s="75"/>
      <c r="Q554" s="75"/>
      <c r="R554" s="75"/>
      <c r="S554" s="75"/>
      <c r="T554" s="75"/>
      <c r="U554" s="75"/>
      <c r="V554" s="77"/>
      <c r="W554" s="75"/>
      <c r="X554" s="75"/>
      <c r="Y554" s="75"/>
      <c r="Z554" s="78"/>
      <c r="AA554" s="78"/>
      <c r="AB554" s="75"/>
      <c r="AJ554" s="72"/>
    </row>
    <row r="555" spans="1:36" s="69" customFormat="1" x14ac:dyDescent="0.25">
      <c r="A555" s="75"/>
      <c r="B555" s="75"/>
      <c r="C555" s="76"/>
      <c r="D555" s="76"/>
      <c r="E555" s="75"/>
      <c r="F555" s="75"/>
      <c r="G555" s="75"/>
      <c r="H555" s="75"/>
      <c r="I555" s="75"/>
      <c r="J555" s="75"/>
      <c r="K555" s="75"/>
      <c r="L555" s="75"/>
      <c r="M555" s="75"/>
      <c r="N555" s="75"/>
      <c r="O555" s="75"/>
      <c r="P555" s="75"/>
      <c r="Q555" s="75"/>
      <c r="R555" s="75"/>
      <c r="S555" s="75"/>
      <c r="T555" s="75"/>
      <c r="U555" s="75"/>
      <c r="V555" s="77"/>
      <c r="W555" s="75"/>
      <c r="X555" s="75"/>
      <c r="Y555" s="75"/>
      <c r="Z555" s="78"/>
      <c r="AA555" s="78"/>
      <c r="AB555" s="75"/>
      <c r="AJ555" s="72"/>
    </row>
    <row r="556" spans="1:36" s="69" customFormat="1" x14ac:dyDescent="0.25">
      <c r="A556" s="75"/>
      <c r="B556" s="75"/>
      <c r="C556" s="76"/>
      <c r="D556" s="76"/>
      <c r="E556" s="75"/>
      <c r="F556" s="75"/>
      <c r="G556" s="75"/>
      <c r="H556" s="75"/>
      <c r="I556" s="75"/>
      <c r="J556" s="75"/>
      <c r="K556" s="75"/>
      <c r="L556" s="75"/>
      <c r="M556" s="75"/>
      <c r="N556" s="75"/>
      <c r="O556" s="75"/>
      <c r="P556" s="75"/>
      <c r="Q556" s="75"/>
      <c r="R556" s="75"/>
      <c r="S556" s="75"/>
      <c r="T556" s="75"/>
      <c r="U556" s="75"/>
      <c r="V556" s="77"/>
      <c r="W556" s="75"/>
      <c r="X556" s="75"/>
      <c r="Y556" s="75"/>
      <c r="Z556" s="78"/>
      <c r="AA556" s="78"/>
      <c r="AB556" s="75"/>
      <c r="AJ556" s="72"/>
    </row>
    <row r="557" spans="1:36" s="69" customFormat="1" x14ac:dyDescent="0.25">
      <c r="A557" s="75"/>
      <c r="B557" s="75"/>
      <c r="C557" s="76"/>
      <c r="D557" s="76"/>
      <c r="E557" s="75"/>
      <c r="F557" s="75"/>
      <c r="G557" s="75"/>
      <c r="H557" s="75"/>
      <c r="I557" s="75"/>
      <c r="J557" s="75"/>
      <c r="K557" s="75"/>
      <c r="L557" s="75"/>
      <c r="M557" s="75"/>
      <c r="N557" s="75"/>
      <c r="O557" s="75"/>
      <c r="P557" s="75"/>
      <c r="Q557" s="75"/>
      <c r="R557" s="75"/>
      <c r="S557" s="75"/>
      <c r="T557" s="75"/>
      <c r="U557" s="75"/>
      <c r="V557" s="77"/>
      <c r="W557" s="75"/>
      <c r="X557" s="75"/>
      <c r="Y557" s="75"/>
      <c r="Z557" s="78"/>
      <c r="AA557" s="78"/>
      <c r="AB557" s="75"/>
      <c r="AJ557" s="72"/>
    </row>
    <row r="558" spans="1:36" s="69" customFormat="1" x14ac:dyDescent="0.25">
      <c r="A558" s="75"/>
      <c r="B558" s="75"/>
      <c r="C558" s="76"/>
      <c r="D558" s="76"/>
      <c r="E558" s="75"/>
      <c r="F558" s="75"/>
      <c r="G558" s="75"/>
      <c r="H558" s="75"/>
      <c r="I558" s="75"/>
      <c r="J558" s="75"/>
      <c r="K558" s="75"/>
      <c r="L558" s="75"/>
      <c r="M558" s="75"/>
      <c r="N558" s="75"/>
      <c r="O558" s="75"/>
      <c r="P558" s="75"/>
      <c r="Q558" s="75"/>
      <c r="R558" s="75"/>
      <c r="S558" s="75"/>
      <c r="T558" s="75"/>
      <c r="U558" s="75"/>
      <c r="V558" s="77"/>
      <c r="W558" s="75"/>
      <c r="X558" s="75"/>
      <c r="Y558" s="75"/>
      <c r="Z558" s="78"/>
      <c r="AA558" s="78"/>
      <c r="AB558" s="75"/>
      <c r="AJ558" s="72"/>
    </row>
    <row r="559" spans="1:36" s="69" customFormat="1" x14ac:dyDescent="0.25">
      <c r="A559" s="75"/>
      <c r="B559" s="75"/>
      <c r="C559" s="76"/>
      <c r="D559" s="76"/>
      <c r="E559" s="75"/>
      <c r="F559" s="75"/>
      <c r="G559" s="75"/>
      <c r="H559" s="75"/>
      <c r="I559" s="75"/>
      <c r="J559" s="75"/>
      <c r="K559" s="75"/>
      <c r="L559" s="75"/>
      <c r="M559" s="75"/>
      <c r="N559" s="75"/>
      <c r="O559" s="75"/>
      <c r="P559" s="75"/>
      <c r="Q559" s="75"/>
      <c r="R559" s="75"/>
      <c r="S559" s="75"/>
      <c r="T559" s="75"/>
      <c r="U559" s="75"/>
      <c r="V559" s="77"/>
      <c r="W559" s="75"/>
      <c r="X559" s="75"/>
      <c r="Y559" s="75"/>
      <c r="Z559" s="78"/>
      <c r="AA559" s="78"/>
      <c r="AB559" s="75"/>
      <c r="AJ559" s="72"/>
    </row>
    <row r="560" spans="1:36" s="69" customFormat="1" x14ac:dyDescent="0.25">
      <c r="A560" s="75"/>
      <c r="B560" s="75"/>
      <c r="C560" s="76"/>
      <c r="D560" s="76"/>
      <c r="E560" s="75"/>
      <c r="F560" s="75"/>
      <c r="G560" s="75"/>
      <c r="H560" s="75"/>
      <c r="I560" s="75"/>
      <c r="J560" s="75"/>
      <c r="K560" s="75"/>
      <c r="L560" s="75"/>
      <c r="M560" s="75"/>
      <c r="N560" s="75"/>
      <c r="O560" s="75"/>
      <c r="P560" s="75"/>
      <c r="Q560" s="75"/>
      <c r="R560" s="75"/>
      <c r="S560" s="75"/>
      <c r="T560" s="75"/>
      <c r="U560" s="75"/>
      <c r="V560" s="77"/>
      <c r="W560" s="75"/>
      <c r="X560" s="75"/>
      <c r="Y560" s="75"/>
      <c r="Z560" s="78"/>
      <c r="AA560" s="78"/>
      <c r="AB560" s="75"/>
      <c r="AJ560" s="72"/>
    </row>
    <row r="561" spans="1:36" s="69" customFormat="1" x14ac:dyDescent="0.25">
      <c r="A561" s="75"/>
      <c r="B561" s="75"/>
      <c r="C561" s="76"/>
      <c r="D561" s="76"/>
      <c r="E561" s="75"/>
      <c r="F561" s="75"/>
      <c r="G561" s="75"/>
      <c r="H561" s="75"/>
      <c r="I561" s="75"/>
      <c r="J561" s="75"/>
      <c r="K561" s="75"/>
      <c r="L561" s="75"/>
      <c r="M561" s="75"/>
      <c r="N561" s="75"/>
      <c r="O561" s="75"/>
      <c r="P561" s="75"/>
      <c r="Q561" s="75"/>
      <c r="R561" s="75"/>
      <c r="S561" s="75"/>
      <c r="T561" s="75"/>
      <c r="U561" s="75"/>
      <c r="V561" s="77"/>
      <c r="W561" s="75"/>
      <c r="X561" s="75"/>
      <c r="Y561" s="75"/>
      <c r="Z561" s="78"/>
      <c r="AA561" s="78"/>
      <c r="AB561" s="75"/>
      <c r="AJ561" s="72"/>
    </row>
    <row r="562" spans="1:36" s="69" customFormat="1" x14ac:dyDescent="0.25">
      <c r="A562" s="75"/>
      <c r="B562" s="75"/>
      <c r="C562" s="76"/>
      <c r="D562" s="76"/>
      <c r="E562" s="75"/>
      <c r="F562" s="75"/>
      <c r="G562" s="75"/>
      <c r="H562" s="75"/>
      <c r="I562" s="75"/>
      <c r="J562" s="75"/>
      <c r="K562" s="75"/>
      <c r="L562" s="75"/>
      <c r="M562" s="75"/>
      <c r="N562" s="75"/>
      <c r="O562" s="75"/>
      <c r="P562" s="75"/>
      <c r="Q562" s="75"/>
      <c r="R562" s="75"/>
      <c r="S562" s="75"/>
      <c r="T562" s="75"/>
      <c r="U562" s="75"/>
      <c r="V562" s="77"/>
      <c r="W562" s="75"/>
      <c r="X562" s="75"/>
      <c r="Y562" s="75"/>
      <c r="Z562" s="78"/>
      <c r="AA562" s="78"/>
      <c r="AB562" s="75"/>
      <c r="AJ562" s="72"/>
    </row>
    <row r="563" spans="1:36" s="69" customFormat="1" x14ac:dyDescent="0.25">
      <c r="A563" s="75"/>
      <c r="B563" s="75"/>
      <c r="C563" s="76"/>
      <c r="D563" s="76"/>
      <c r="E563" s="75"/>
      <c r="F563" s="75"/>
      <c r="G563" s="75"/>
      <c r="H563" s="75"/>
      <c r="I563" s="75"/>
      <c r="J563" s="75"/>
      <c r="K563" s="75"/>
      <c r="L563" s="75"/>
      <c r="M563" s="75"/>
      <c r="N563" s="75"/>
      <c r="O563" s="75"/>
      <c r="P563" s="75"/>
      <c r="Q563" s="75"/>
      <c r="R563" s="75"/>
      <c r="S563" s="75"/>
      <c r="T563" s="75"/>
      <c r="U563" s="75"/>
      <c r="V563" s="77"/>
      <c r="W563" s="75"/>
      <c r="X563" s="75"/>
      <c r="Y563" s="75"/>
      <c r="Z563" s="78"/>
      <c r="AA563" s="78"/>
      <c r="AB563" s="75"/>
      <c r="AJ563" s="72"/>
    </row>
    <row r="564" spans="1:36" s="69" customFormat="1" x14ac:dyDescent="0.25">
      <c r="A564" s="75"/>
      <c r="B564" s="75"/>
      <c r="C564" s="76"/>
      <c r="D564" s="76"/>
      <c r="E564" s="75"/>
      <c r="F564" s="75"/>
      <c r="G564" s="75"/>
      <c r="H564" s="75"/>
      <c r="I564" s="75"/>
      <c r="J564" s="75"/>
      <c r="K564" s="75"/>
      <c r="L564" s="75"/>
      <c r="M564" s="75"/>
      <c r="N564" s="75"/>
      <c r="O564" s="75"/>
      <c r="P564" s="75"/>
      <c r="Q564" s="75"/>
      <c r="R564" s="75"/>
      <c r="S564" s="75"/>
      <c r="T564" s="75"/>
      <c r="U564" s="75"/>
      <c r="V564" s="77"/>
      <c r="W564" s="75"/>
      <c r="X564" s="75"/>
      <c r="Y564" s="75"/>
      <c r="Z564" s="78"/>
      <c r="AA564" s="78"/>
      <c r="AB564" s="75"/>
      <c r="AJ564" s="72"/>
    </row>
    <row r="565" spans="1:36" s="69" customFormat="1" x14ac:dyDescent="0.25">
      <c r="A565" s="75"/>
      <c r="B565" s="75"/>
      <c r="C565" s="76"/>
      <c r="D565" s="76"/>
      <c r="E565" s="75"/>
      <c r="F565" s="75"/>
      <c r="G565" s="75"/>
      <c r="H565" s="75"/>
      <c r="I565" s="75"/>
      <c r="J565" s="75"/>
      <c r="K565" s="75"/>
      <c r="L565" s="75"/>
      <c r="M565" s="75"/>
      <c r="N565" s="75"/>
      <c r="O565" s="75"/>
      <c r="P565" s="75"/>
      <c r="Q565" s="75"/>
      <c r="R565" s="75"/>
      <c r="S565" s="75"/>
      <c r="T565" s="75"/>
      <c r="U565" s="75"/>
      <c r="V565" s="77"/>
      <c r="W565" s="75"/>
      <c r="X565" s="75"/>
      <c r="Y565" s="75"/>
      <c r="Z565" s="78"/>
      <c r="AA565" s="78"/>
      <c r="AB565" s="75"/>
      <c r="AJ565" s="72"/>
    </row>
    <row r="566" spans="1:36" s="69" customFormat="1" x14ac:dyDescent="0.25">
      <c r="A566" s="75"/>
      <c r="B566" s="75"/>
      <c r="C566" s="76"/>
      <c r="D566" s="76"/>
      <c r="E566" s="75"/>
      <c r="F566" s="75"/>
      <c r="G566" s="75"/>
      <c r="H566" s="75"/>
      <c r="I566" s="75"/>
      <c r="J566" s="75"/>
      <c r="K566" s="75"/>
      <c r="L566" s="75"/>
      <c r="M566" s="75"/>
      <c r="N566" s="75"/>
      <c r="O566" s="75"/>
      <c r="P566" s="75"/>
      <c r="Q566" s="75"/>
      <c r="R566" s="75"/>
      <c r="S566" s="75"/>
      <c r="T566" s="75"/>
      <c r="U566" s="75"/>
      <c r="V566" s="77"/>
      <c r="W566" s="75"/>
      <c r="X566" s="75"/>
      <c r="Y566" s="75"/>
      <c r="Z566" s="78"/>
      <c r="AA566" s="78"/>
      <c r="AB566" s="75"/>
      <c r="AJ566" s="72"/>
    </row>
    <row r="567" spans="1:36" s="69" customFormat="1" x14ac:dyDescent="0.25">
      <c r="A567" s="75"/>
      <c r="B567" s="75"/>
      <c r="C567" s="76"/>
      <c r="D567" s="76"/>
      <c r="E567" s="75"/>
      <c r="F567" s="75"/>
      <c r="G567" s="75"/>
      <c r="H567" s="75"/>
      <c r="I567" s="75"/>
      <c r="J567" s="75"/>
      <c r="K567" s="75"/>
      <c r="L567" s="75"/>
      <c r="M567" s="75"/>
      <c r="N567" s="75"/>
      <c r="O567" s="75"/>
      <c r="P567" s="75"/>
      <c r="Q567" s="75"/>
      <c r="R567" s="75"/>
      <c r="S567" s="75"/>
      <c r="T567" s="75"/>
      <c r="U567" s="75"/>
      <c r="V567" s="77"/>
      <c r="W567" s="75"/>
      <c r="X567" s="75"/>
      <c r="Y567" s="75"/>
      <c r="Z567" s="78"/>
      <c r="AA567" s="78"/>
      <c r="AB567" s="75"/>
      <c r="AJ567" s="72"/>
    </row>
    <row r="568" spans="1:36" s="69" customFormat="1" x14ac:dyDescent="0.25">
      <c r="A568" s="75"/>
      <c r="B568" s="75"/>
      <c r="C568" s="76"/>
      <c r="D568" s="76"/>
      <c r="E568" s="75"/>
      <c r="F568" s="75"/>
      <c r="G568" s="75"/>
      <c r="H568" s="75"/>
      <c r="I568" s="75"/>
      <c r="J568" s="75"/>
      <c r="K568" s="75"/>
      <c r="L568" s="75"/>
      <c r="M568" s="75"/>
      <c r="N568" s="75"/>
      <c r="O568" s="75"/>
      <c r="P568" s="75"/>
      <c r="Q568" s="75"/>
      <c r="R568" s="75"/>
      <c r="S568" s="75"/>
      <c r="T568" s="75"/>
      <c r="U568" s="75"/>
      <c r="V568" s="77"/>
      <c r="W568" s="75"/>
      <c r="X568" s="75"/>
      <c r="Y568" s="75"/>
      <c r="Z568" s="78"/>
      <c r="AA568" s="78"/>
      <c r="AB568" s="75"/>
      <c r="AJ568" s="72"/>
    </row>
    <row r="569" spans="1:36" s="69" customFormat="1" x14ac:dyDescent="0.25">
      <c r="A569" s="75"/>
      <c r="B569" s="75"/>
      <c r="C569" s="76"/>
      <c r="D569" s="76"/>
      <c r="E569" s="75"/>
      <c r="F569" s="75"/>
      <c r="G569" s="75"/>
      <c r="H569" s="75"/>
      <c r="I569" s="75"/>
      <c r="J569" s="75"/>
      <c r="K569" s="75"/>
      <c r="L569" s="75"/>
      <c r="M569" s="75"/>
      <c r="N569" s="75"/>
      <c r="O569" s="75"/>
      <c r="P569" s="75"/>
      <c r="Q569" s="75"/>
      <c r="R569" s="75"/>
      <c r="S569" s="75"/>
      <c r="T569" s="75"/>
      <c r="U569" s="75"/>
      <c r="V569" s="77"/>
      <c r="W569" s="75"/>
      <c r="X569" s="75"/>
      <c r="Y569" s="75"/>
      <c r="Z569" s="78"/>
      <c r="AA569" s="78"/>
      <c r="AB569" s="75"/>
      <c r="AJ569" s="72"/>
    </row>
    <row r="570" spans="1:36" s="69" customFormat="1" x14ac:dyDescent="0.25">
      <c r="A570" s="75"/>
      <c r="B570" s="75"/>
      <c r="C570" s="76"/>
      <c r="D570" s="76"/>
      <c r="E570" s="75"/>
      <c r="F570" s="75"/>
      <c r="G570" s="75"/>
      <c r="H570" s="75"/>
      <c r="I570" s="75"/>
      <c r="J570" s="75"/>
      <c r="K570" s="75"/>
      <c r="L570" s="75"/>
      <c r="M570" s="75"/>
      <c r="N570" s="75"/>
      <c r="O570" s="75"/>
      <c r="P570" s="75"/>
      <c r="Q570" s="75"/>
      <c r="R570" s="75"/>
      <c r="S570" s="75"/>
      <c r="T570" s="75"/>
      <c r="U570" s="75"/>
      <c r="V570" s="77"/>
      <c r="W570" s="75"/>
      <c r="X570" s="75"/>
      <c r="Y570" s="75"/>
      <c r="Z570" s="78"/>
      <c r="AA570" s="78"/>
      <c r="AB570" s="75"/>
      <c r="AJ570" s="72"/>
    </row>
    <row r="571" spans="1:36" s="69" customFormat="1" x14ac:dyDescent="0.25">
      <c r="A571" s="75"/>
      <c r="B571" s="75"/>
      <c r="C571" s="76"/>
      <c r="D571" s="76"/>
      <c r="E571" s="75"/>
      <c r="F571" s="75"/>
      <c r="G571" s="75"/>
      <c r="H571" s="75"/>
      <c r="I571" s="75"/>
      <c r="J571" s="75"/>
      <c r="K571" s="75"/>
      <c r="L571" s="75"/>
      <c r="M571" s="75"/>
      <c r="N571" s="75"/>
      <c r="O571" s="75"/>
      <c r="P571" s="75"/>
      <c r="Q571" s="75"/>
      <c r="R571" s="75"/>
      <c r="S571" s="75"/>
      <c r="T571" s="75"/>
      <c r="U571" s="75"/>
      <c r="V571" s="77"/>
      <c r="W571" s="75"/>
      <c r="X571" s="75"/>
      <c r="Y571" s="75"/>
      <c r="Z571" s="78"/>
      <c r="AA571" s="78"/>
      <c r="AB571" s="75"/>
      <c r="AJ571" s="72"/>
    </row>
    <row r="572" spans="1:36" s="69" customFormat="1" x14ac:dyDescent="0.25">
      <c r="B572" s="75"/>
      <c r="C572" s="76"/>
      <c r="D572" s="76"/>
      <c r="E572" s="75"/>
      <c r="F572" s="75"/>
      <c r="G572" s="75"/>
      <c r="H572" s="75"/>
      <c r="I572" s="75"/>
      <c r="J572" s="75"/>
      <c r="K572" s="75"/>
      <c r="L572" s="75"/>
      <c r="M572" s="75"/>
      <c r="N572" s="75"/>
      <c r="O572" s="75"/>
      <c r="P572" s="75"/>
      <c r="Q572" s="75"/>
      <c r="R572" s="75"/>
      <c r="S572" s="75"/>
      <c r="T572" s="75"/>
      <c r="U572" s="75"/>
      <c r="V572" s="77"/>
      <c r="W572" s="75"/>
      <c r="X572" s="75"/>
      <c r="Y572" s="75"/>
      <c r="Z572" s="78"/>
      <c r="AA572" s="78"/>
      <c r="AB572" s="75"/>
      <c r="AJ572" s="72"/>
    </row>
    <row r="573" spans="1:36" s="69" customFormat="1" x14ac:dyDescent="0.25">
      <c r="B573" s="75"/>
      <c r="C573" s="76"/>
      <c r="D573" s="76"/>
      <c r="E573" s="75"/>
      <c r="F573" s="75"/>
      <c r="G573" s="75"/>
      <c r="H573" s="75"/>
      <c r="I573" s="75"/>
      <c r="J573" s="75"/>
      <c r="K573" s="75"/>
      <c r="L573" s="75"/>
      <c r="M573" s="75"/>
      <c r="N573" s="75"/>
      <c r="O573" s="75"/>
      <c r="P573" s="75"/>
      <c r="Q573" s="75"/>
      <c r="R573" s="75"/>
      <c r="S573" s="75"/>
      <c r="T573" s="75"/>
      <c r="U573" s="75"/>
      <c r="V573" s="77"/>
      <c r="W573" s="75"/>
      <c r="X573" s="75"/>
      <c r="Y573" s="75"/>
      <c r="Z573" s="78"/>
      <c r="AA573" s="78"/>
      <c r="AB573" s="75"/>
      <c r="AJ573" s="72"/>
    </row>
    <row r="574" spans="1:36" s="69" customFormat="1" x14ac:dyDescent="0.25">
      <c r="B574" s="75"/>
      <c r="C574" s="76"/>
      <c r="D574" s="76"/>
      <c r="E574" s="75"/>
      <c r="F574" s="75"/>
      <c r="G574" s="75"/>
      <c r="H574" s="75"/>
      <c r="I574" s="75"/>
      <c r="J574" s="75"/>
      <c r="K574" s="75"/>
      <c r="L574" s="75"/>
      <c r="M574" s="75"/>
      <c r="N574" s="75"/>
      <c r="O574" s="75"/>
      <c r="P574" s="75"/>
      <c r="Q574" s="75"/>
      <c r="R574" s="75"/>
      <c r="S574" s="75"/>
      <c r="T574" s="75"/>
      <c r="U574" s="75"/>
      <c r="V574" s="77"/>
      <c r="W574" s="75"/>
      <c r="X574" s="75"/>
      <c r="Y574" s="75"/>
      <c r="Z574" s="78"/>
      <c r="AA574" s="78"/>
      <c r="AB574" s="75"/>
      <c r="AJ574" s="72"/>
    </row>
    <row r="575" spans="1:36" s="69" customFormat="1" x14ac:dyDescent="0.25">
      <c r="B575" s="75"/>
      <c r="C575" s="76"/>
      <c r="D575" s="76"/>
      <c r="E575" s="75"/>
      <c r="F575" s="75"/>
      <c r="G575" s="75"/>
      <c r="H575" s="75"/>
      <c r="I575" s="75"/>
      <c r="J575" s="75"/>
      <c r="K575" s="75"/>
      <c r="L575" s="75"/>
      <c r="M575" s="75"/>
      <c r="N575" s="75"/>
      <c r="O575" s="75"/>
      <c r="P575" s="75"/>
      <c r="Q575" s="75"/>
      <c r="R575" s="75"/>
      <c r="S575" s="75"/>
      <c r="T575" s="75"/>
      <c r="U575" s="75"/>
      <c r="V575" s="77"/>
      <c r="W575" s="75"/>
      <c r="X575" s="75"/>
      <c r="Y575" s="75"/>
      <c r="Z575" s="78"/>
      <c r="AA575" s="78"/>
      <c r="AB575" s="75"/>
      <c r="AJ575" s="72"/>
    </row>
    <row r="576" spans="1:36" s="69" customFormat="1" x14ac:dyDescent="0.25">
      <c r="B576" s="75"/>
      <c r="C576" s="76"/>
      <c r="D576" s="76"/>
      <c r="E576" s="75"/>
      <c r="F576" s="75"/>
      <c r="G576" s="75"/>
      <c r="H576" s="75"/>
      <c r="I576" s="75"/>
      <c r="J576" s="75"/>
      <c r="K576" s="75"/>
      <c r="L576" s="75"/>
      <c r="M576" s="75"/>
      <c r="N576" s="75"/>
      <c r="O576" s="75"/>
      <c r="P576" s="75"/>
      <c r="Q576" s="75"/>
      <c r="R576" s="75"/>
      <c r="S576" s="75"/>
      <c r="T576" s="75"/>
      <c r="U576" s="75"/>
      <c r="V576" s="77"/>
      <c r="W576" s="75"/>
      <c r="X576" s="75"/>
      <c r="Y576" s="75"/>
      <c r="Z576" s="78"/>
      <c r="AA576" s="78"/>
      <c r="AB576" s="75"/>
      <c r="AJ576" s="72"/>
    </row>
    <row r="577" spans="2:36" s="69" customFormat="1" x14ac:dyDescent="0.25">
      <c r="B577" s="75"/>
      <c r="C577" s="76"/>
      <c r="D577" s="76"/>
      <c r="E577" s="75"/>
      <c r="F577" s="75"/>
      <c r="G577" s="75"/>
      <c r="H577" s="75"/>
      <c r="I577" s="75"/>
      <c r="J577" s="75"/>
      <c r="K577" s="75"/>
      <c r="L577" s="75"/>
      <c r="M577" s="75"/>
      <c r="N577" s="75"/>
      <c r="O577" s="75"/>
      <c r="P577" s="75"/>
      <c r="Q577" s="75"/>
      <c r="R577" s="75"/>
      <c r="S577" s="75"/>
      <c r="T577" s="75"/>
      <c r="U577" s="75"/>
      <c r="V577" s="77"/>
      <c r="W577" s="75"/>
      <c r="X577" s="75"/>
      <c r="Y577" s="75"/>
      <c r="Z577" s="78"/>
      <c r="AA577" s="78"/>
      <c r="AB577" s="75"/>
      <c r="AJ577" s="72"/>
    </row>
    <row r="578" spans="2:36" s="69" customFormat="1" x14ac:dyDescent="0.25">
      <c r="B578" s="75"/>
      <c r="C578" s="76"/>
      <c r="D578" s="76"/>
      <c r="E578" s="75"/>
      <c r="F578" s="75"/>
      <c r="G578" s="75"/>
      <c r="H578" s="75"/>
      <c r="I578" s="75"/>
      <c r="J578" s="75"/>
      <c r="K578" s="75"/>
      <c r="L578" s="75"/>
      <c r="M578" s="75"/>
      <c r="N578" s="75"/>
      <c r="O578" s="75"/>
      <c r="P578" s="75"/>
      <c r="Q578" s="75"/>
      <c r="R578" s="75"/>
      <c r="S578" s="75"/>
      <c r="T578" s="75"/>
      <c r="U578" s="75"/>
      <c r="V578" s="77"/>
      <c r="W578" s="75"/>
      <c r="X578" s="75"/>
      <c r="Y578" s="75"/>
      <c r="Z578" s="78"/>
      <c r="AA578" s="78"/>
      <c r="AB578" s="75"/>
      <c r="AJ578" s="72"/>
    </row>
    <row r="579" spans="2:36" s="69" customFormat="1" x14ac:dyDescent="0.25">
      <c r="B579" s="75"/>
      <c r="C579" s="76"/>
      <c r="D579" s="76"/>
      <c r="E579" s="75"/>
      <c r="F579" s="75"/>
      <c r="G579" s="75"/>
      <c r="H579" s="75"/>
      <c r="I579" s="75"/>
      <c r="J579" s="75"/>
      <c r="K579" s="75"/>
      <c r="L579" s="75"/>
      <c r="M579" s="75"/>
      <c r="N579" s="75"/>
      <c r="O579" s="75"/>
      <c r="P579" s="75"/>
      <c r="Q579" s="75"/>
      <c r="R579" s="75"/>
      <c r="S579" s="75"/>
      <c r="T579" s="75"/>
      <c r="U579" s="75"/>
      <c r="V579" s="77"/>
      <c r="W579" s="75"/>
      <c r="X579" s="75"/>
      <c r="Y579" s="75"/>
      <c r="Z579" s="78"/>
      <c r="AA579" s="78"/>
      <c r="AB579" s="75"/>
      <c r="AJ579" s="72"/>
    </row>
    <row r="580" spans="2:36" s="69" customFormat="1" x14ac:dyDescent="0.25">
      <c r="B580" s="75"/>
      <c r="C580" s="76"/>
      <c r="D580" s="76"/>
      <c r="E580" s="75"/>
      <c r="F580" s="75"/>
      <c r="G580" s="75"/>
      <c r="H580" s="75"/>
      <c r="I580" s="75"/>
      <c r="J580" s="75"/>
      <c r="K580" s="75"/>
      <c r="L580" s="75"/>
      <c r="M580" s="75"/>
      <c r="N580" s="75"/>
      <c r="O580" s="75"/>
      <c r="P580" s="75"/>
      <c r="Q580" s="75"/>
      <c r="R580" s="75"/>
      <c r="S580" s="75"/>
      <c r="T580" s="75"/>
      <c r="U580" s="75"/>
      <c r="V580" s="77"/>
      <c r="W580" s="75"/>
      <c r="X580" s="75"/>
      <c r="Y580" s="75"/>
      <c r="Z580" s="78"/>
      <c r="AA580" s="78"/>
      <c r="AB580" s="75"/>
      <c r="AJ580" s="72"/>
    </row>
    <row r="581" spans="2:36" s="69" customFormat="1" x14ac:dyDescent="0.25">
      <c r="B581" s="75"/>
      <c r="C581" s="76"/>
      <c r="D581" s="76"/>
      <c r="E581" s="75"/>
      <c r="F581" s="75"/>
      <c r="G581" s="75"/>
      <c r="H581" s="75"/>
      <c r="I581" s="75"/>
      <c r="J581" s="75"/>
      <c r="K581" s="75"/>
      <c r="L581" s="75"/>
      <c r="M581" s="75"/>
      <c r="N581" s="75"/>
      <c r="O581" s="75"/>
      <c r="P581" s="75"/>
      <c r="Q581" s="75"/>
      <c r="R581" s="75"/>
      <c r="S581" s="75"/>
      <c r="T581" s="75"/>
      <c r="U581" s="75"/>
      <c r="V581" s="77"/>
      <c r="W581" s="75"/>
      <c r="X581" s="75"/>
      <c r="Y581" s="75"/>
      <c r="Z581" s="78"/>
      <c r="AA581" s="78"/>
      <c r="AB581" s="75"/>
      <c r="AJ581" s="72"/>
    </row>
    <row r="582" spans="2:36" s="69" customFormat="1" x14ac:dyDescent="0.25">
      <c r="B582" s="75"/>
      <c r="C582" s="76"/>
      <c r="D582" s="76"/>
      <c r="E582" s="75"/>
      <c r="F582" s="75"/>
      <c r="G582" s="75"/>
      <c r="H582" s="75"/>
      <c r="I582" s="75"/>
      <c r="J582" s="75"/>
      <c r="K582" s="75"/>
      <c r="L582" s="75"/>
      <c r="M582" s="75"/>
      <c r="N582" s="75"/>
      <c r="O582" s="75"/>
      <c r="P582" s="75"/>
      <c r="Q582" s="75"/>
      <c r="R582" s="75"/>
      <c r="S582" s="75"/>
      <c r="T582" s="75"/>
      <c r="U582" s="75"/>
      <c r="V582" s="77"/>
      <c r="W582" s="75"/>
      <c r="X582" s="75"/>
      <c r="Y582" s="75"/>
      <c r="Z582" s="78"/>
      <c r="AA582" s="78"/>
      <c r="AB582" s="75"/>
      <c r="AJ582" s="72"/>
    </row>
    <row r="583" spans="2:36" s="69" customFormat="1" x14ac:dyDescent="0.25">
      <c r="B583" s="75"/>
      <c r="C583" s="76"/>
      <c r="D583" s="76"/>
      <c r="E583" s="75"/>
      <c r="F583" s="75"/>
      <c r="G583" s="75"/>
      <c r="H583" s="75"/>
      <c r="I583" s="75"/>
      <c r="J583" s="75"/>
      <c r="K583" s="75"/>
      <c r="L583" s="75"/>
      <c r="M583" s="75"/>
      <c r="N583" s="75"/>
      <c r="O583" s="75"/>
      <c r="P583" s="75"/>
      <c r="Q583" s="75"/>
      <c r="R583" s="75"/>
      <c r="S583" s="75"/>
      <c r="T583" s="75"/>
      <c r="U583" s="75"/>
      <c r="V583" s="77"/>
      <c r="W583" s="75"/>
      <c r="X583" s="75"/>
      <c r="Y583" s="75"/>
      <c r="Z583" s="78"/>
      <c r="AA583" s="78"/>
      <c r="AB583" s="75"/>
      <c r="AJ583" s="72"/>
    </row>
    <row r="584" spans="2:36" s="69" customFormat="1" x14ac:dyDescent="0.25">
      <c r="B584" s="75"/>
      <c r="C584" s="76"/>
      <c r="D584" s="76"/>
      <c r="E584" s="75"/>
      <c r="F584" s="75"/>
      <c r="G584" s="75"/>
      <c r="H584" s="75"/>
      <c r="I584" s="75"/>
      <c r="J584" s="75"/>
      <c r="K584" s="75"/>
      <c r="L584" s="75"/>
      <c r="M584" s="75"/>
      <c r="N584" s="75"/>
      <c r="O584" s="75"/>
      <c r="P584" s="75"/>
      <c r="Q584" s="75"/>
      <c r="R584" s="75"/>
      <c r="S584" s="75"/>
      <c r="T584" s="75"/>
      <c r="U584" s="75"/>
      <c r="V584" s="77"/>
      <c r="W584" s="75"/>
      <c r="X584" s="75"/>
      <c r="Y584" s="75"/>
      <c r="Z584" s="78"/>
      <c r="AA584" s="78"/>
      <c r="AB584" s="75"/>
      <c r="AJ584" s="72"/>
    </row>
    <row r="585" spans="2:36" s="69" customFormat="1" x14ac:dyDescent="0.25">
      <c r="B585" s="75"/>
      <c r="C585" s="76"/>
      <c r="D585" s="76"/>
      <c r="E585" s="75"/>
      <c r="F585" s="75"/>
      <c r="G585" s="75"/>
      <c r="H585" s="75"/>
      <c r="I585" s="75"/>
      <c r="J585" s="75"/>
      <c r="K585" s="75"/>
      <c r="L585" s="75"/>
      <c r="M585" s="75"/>
      <c r="N585" s="75"/>
      <c r="O585" s="75"/>
      <c r="P585" s="75"/>
      <c r="Q585" s="75"/>
      <c r="R585" s="75"/>
      <c r="S585" s="75"/>
      <c r="T585" s="75"/>
      <c r="U585" s="75"/>
      <c r="V585" s="77"/>
      <c r="W585" s="75"/>
      <c r="X585" s="75"/>
      <c r="Y585" s="75"/>
      <c r="Z585" s="78"/>
      <c r="AA585" s="78"/>
      <c r="AB585" s="75"/>
      <c r="AJ585" s="72"/>
    </row>
    <row r="586" spans="2:36" s="69" customFormat="1" x14ac:dyDescent="0.25">
      <c r="B586" s="75"/>
      <c r="C586" s="76"/>
      <c r="D586" s="76"/>
      <c r="E586" s="75"/>
      <c r="F586" s="75"/>
      <c r="G586" s="75"/>
      <c r="H586" s="75"/>
      <c r="I586" s="75"/>
      <c r="J586" s="75"/>
      <c r="K586" s="75"/>
      <c r="L586" s="75"/>
      <c r="M586" s="75"/>
      <c r="N586" s="75"/>
      <c r="O586" s="75"/>
      <c r="P586" s="75"/>
      <c r="Q586" s="75"/>
      <c r="R586" s="75"/>
      <c r="S586" s="75"/>
      <c r="T586" s="75"/>
      <c r="U586" s="75"/>
      <c r="V586" s="77"/>
      <c r="W586" s="75"/>
      <c r="X586" s="75"/>
      <c r="Y586" s="75"/>
      <c r="Z586" s="78"/>
      <c r="AA586" s="78"/>
      <c r="AB586" s="75"/>
      <c r="AJ586" s="72"/>
    </row>
    <row r="587" spans="2:36" s="69" customFormat="1" x14ac:dyDescent="0.25">
      <c r="B587" s="75"/>
      <c r="C587" s="76"/>
      <c r="D587" s="76"/>
      <c r="E587" s="75"/>
      <c r="F587" s="75"/>
      <c r="G587" s="75"/>
      <c r="H587" s="75"/>
      <c r="I587" s="75"/>
      <c r="J587" s="75"/>
      <c r="K587" s="75"/>
      <c r="L587" s="75"/>
      <c r="M587" s="75"/>
      <c r="N587" s="75"/>
      <c r="O587" s="75"/>
      <c r="P587" s="75"/>
      <c r="Q587" s="75"/>
      <c r="R587" s="75"/>
      <c r="S587" s="75"/>
      <c r="T587" s="75"/>
      <c r="U587" s="75"/>
      <c r="V587" s="77"/>
      <c r="W587" s="75"/>
      <c r="X587" s="75"/>
      <c r="Y587" s="75"/>
      <c r="Z587" s="78"/>
      <c r="AA587" s="78"/>
      <c r="AB587" s="75"/>
      <c r="AJ587" s="72"/>
    </row>
    <row r="588" spans="2:36" s="69" customFormat="1" x14ac:dyDescent="0.25">
      <c r="B588" s="75"/>
      <c r="C588" s="76"/>
      <c r="D588" s="76"/>
      <c r="E588" s="75"/>
      <c r="F588" s="75"/>
      <c r="G588" s="75"/>
      <c r="H588" s="75"/>
      <c r="I588" s="75"/>
      <c r="J588" s="75"/>
      <c r="K588" s="75"/>
      <c r="L588" s="75"/>
      <c r="M588" s="75"/>
      <c r="N588" s="75"/>
      <c r="O588" s="75"/>
      <c r="P588" s="75"/>
      <c r="Q588" s="75"/>
      <c r="R588" s="75"/>
      <c r="S588" s="75"/>
      <c r="T588" s="75"/>
      <c r="U588" s="75"/>
      <c r="V588" s="77"/>
      <c r="W588" s="75"/>
      <c r="X588" s="75"/>
      <c r="Y588" s="75"/>
      <c r="Z588" s="78"/>
      <c r="AA588" s="78"/>
      <c r="AB588" s="75"/>
      <c r="AJ588" s="72"/>
    </row>
    <row r="589" spans="2:36" s="69" customFormat="1" x14ac:dyDescent="0.25">
      <c r="B589" s="75"/>
      <c r="C589" s="76"/>
      <c r="D589" s="76"/>
      <c r="E589" s="75"/>
      <c r="F589" s="75"/>
      <c r="G589" s="75"/>
      <c r="H589" s="75"/>
      <c r="I589" s="75"/>
      <c r="J589" s="75"/>
      <c r="K589" s="75"/>
      <c r="L589" s="75"/>
      <c r="M589" s="75"/>
      <c r="N589" s="75"/>
      <c r="O589" s="75"/>
      <c r="P589" s="75"/>
      <c r="Q589" s="75"/>
      <c r="R589" s="75"/>
      <c r="S589" s="75"/>
      <c r="T589" s="75"/>
      <c r="U589" s="75"/>
      <c r="V589" s="77"/>
      <c r="W589" s="75"/>
      <c r="X589" s="75"/>
      <c r="Y589" s="75"/>
      <c r="Z589" s="78"/>
      <c r="AA589" s="78"/>
      <c r="AB589" s="75"/>
      <c r="AJ589" s="72"/>
    </row>
    <row r="590" spans="2:36" s="69" customFormat="1" x14ac:dyDescent="0.25">
      <c r="B590" s="75"/>
      <c r="C590" s="76"/>
      <c r="D590" s="76"/>
      <c r="E590" s="75"/>
      <c r="F590" s="75"/>
      <c r="G590" s="75"/>
      <c r="H590" s="75"/>
      <c r="I590" s="75"/>
      <c r="J590" s="75"/>
      <c r="K590" s="75"/>
      <c r="L590" s="75"/>
      <c r="M590" s="75"/>
      <c r="N590" s="75"/>
      <c r="O590" s="75"/>
      <c r="P590" s="75"/>
      <c r="Q590" s="75"/>
      <c r="R590" s="75"/>
      <c r="S590" s="75"/>
      <c r="T590" s="75"/>
      <c r="U590" s="75"/>
      <c r="V590" s="77"/>
      <c r="W590" s="75"/>
      <c r="X590" s="75"/>
      <c r="Y590" s="75"/>
      <c r="Z590" s="78"/>
      <c r="AA590" s="78"/>
      <c r="AB590" s="75"/>
      <c r="AJ590" s="72"/>
    </row>
    <row r="591" spans="2:36" s="69" customFormat="1" x14ac:dyDescent="0.25">
      <c r="B591" s="75"/>
      <c r="C591" s="76"/>
      <c r="D591" s="76"/>
      <c r="E591" s="75"/>
      <c r="F591" s="75"/>
      <c r="G591" s="75"/>
      <c r="H591" s="75"/>
      <c r="I591" s="75"/>
      <c r="J591" s="75"/>
      <c r="K591" s="75"/>
      <c r="L591" s="75"/>
      <c r="M591" s="75"/>
      <c r="N591" s="75"/>
      <c r="O591" s="75"/>
      <c r="P591" s="75"/>
      <c r="Q591" s="75"/>
      <c r="R591" s="75"/>
      <c r="S591" s="75"/>
      <c r="T591" s="75"/>
      <c r="U591" s="75"/>
      <c r="V591" s="77"/>
      <c r="W591" s="75"/>
      <c r="X591" s="75"/>
      <c r="Y591" s="75"/>
      <c r="Z591" s="78"/>
      <c r="AA591" s="78"/>
      <c r="AB591" s="75"/>
      <c r="AJ591" s="72"/>
    </row>
    <row r="592" spans="2:36" s="69" customFormat="1" x14ac:dyDescent="0.25">
      <c r="B592" s="75"/>
      <c r="C592" s="76"/>
      <c r="D592" s="76"/>
      <c r="E592" s="75"/>
      <c r="F592" s="75"/>
      <c r="G592" s="75"/>
      <c r="H592" s="75"/>
      <c r="I592" s="75"/>
      <c r="J592" s="75"/>
      <c r="K592" s="75"/>
      <c r="L592" s="75"/>
      <c r="M592" s="75"/>
      <c r="N592" s="75"/>
      <c r="O592" s="75"/>
      <c r="P592" s="75"/>
      <c r="Q592" s="75"/>
      <c r="R592" s="75"/>
      <c r="S592" s="75"/>
      <c r="T592" s="75"/>
      <c r="U592" s="75"/>
      <c r="V592" s="77"/>
      <c r="W592" s="75"/>
      <c r="X592" s="75"/>
      <c r="Y592" s="75"/>
      <c r="Z592" s="78"/>
      <c r="AA592" s="78"/>
      <c r="AB592" s="75"/>
      <c r="AJ592" s="72"/>
    </row>
    <row r="593" spans="2:36" s="69" customFormat="1" x14ac:dyDescent="0.25">
      <c r="C593" s="70"/>
      <c r="D593" s="70"/>
      <c r="V593" s="71"/>
      <c r="Z593" s="73"/>
      <c r="AA593" s="73"/>
      <c r="AJ593" s="72"/>
    </row>
    <row r="594" spans="2:36" s="69" customFormat="1" x14ac:dyDescent="0.25">
      <c r="C594" s="70"/>
      <c r="D594" s="70"/>
      <c r="V594" s="71"/>
      <c r="Z594" s="73"/>
      <c r="AA594" s="73"/>
      <c r="AJ594" s="72"/>
    </row>
    <row r="595" spans="2:36" s="69" customFormat="1" x14ac:dyDescent="0.25">
      <c r="C595" s="70"/>
      <c r="D595" s="70"/>
      <c r="V595" s="71"/>
      <c r="Z595" s="73"/>
      <c r="AA595" s="73"/>
      <c r="AJ595" s="72"/>
    </row>
    <row r="596" spans="2:36" s="69" customFormat="1" x14ac:dyDescent="0.25">
      <c r="C596" s="70"/>
      <c r="D596" s="70"/>
      <c r="V596" s="71"/>
      <c r="Z596" s="73"/>
      <c r="AA596" s="73"/>
      <c r="AJ596" s="72"/>
    </row>
    <row r="597" spans="2:36" x14ac:dyDescent="0.25">
      <c r="B597" s="24"/>
      <c r="C597" s="25"/>
      <c r="D597" s="25"/>
      <c r="E597" s="24"/>
      <c r="F597" s="24"/>
      <c r="G597" s="24"/>
      <c r="H597" s="24"/>
      <c r="I597" s="24"/>
      <c r="J597" s="24"/>
      <c r="K597" s="24"/>
      <c r="L597" s="24"/>
      <c r="M597" s="24"/>
      <c r="N597" s="24"/>
      <c r="O597" s="24"/>
      <c r="P597" s="24"/>
      <c r="Q597" s="24"/>
      <c r="R597" s="24"/>
      <c r="S597" s="24"/>
      <c r="T597" s="24"/>
      <c r="U597" s="24"/>
      <c r="V597" s="26"/>
    </row>
    <row r="598" spans="2:36" x14ac:dyDescent="0.25">
      <c r="B598" s="24"/>
      <c r="C598" s="25"/>
      <c r="D598" s="25"/>
      <c r="E598" s="24"/>
      <c r="F598" s="24"/>
      <c r="G598" s="24"/>
      <c r="H598" s="24"/>
      <c r="I598" s="24"/>
      <c r="J598" s="24"/>
      <c r="K598" s="24"/>
      <c r="L598" s="24"/>
      <c r="M598" s="24"/>
      <c r="N598" s="24"/>
      <c r="O598" s="24"/>
      <c r="P598" s="24"/>
      <c r="Q598" s="24"/>
      <c r="R598" s="24"/>
      <c r="S598" s="24"/>
      <c r="T598" s="24"/>
      <c r="U598" s="24"/>
      <c r="V598" s="26"/>
    </row>
    <row r="599" spans="2:36" x14ac:dyDescent="0.25">
      <c r="B599" s="24"/>
      <c r="C599" s="25"/>
      <c r="D599" s="25"/>
      <c r="E599" s="24"/>
      <c r="F599" s="24"/>
      <c r="G599" s="24"/>
      <c r="H599" s="24"/>
      <c r="I599" s="24"/>
      <c r="J599" s="24"/>
      <c r="K599" s="24"/>
      <c r="L599" s="24"/>
      <c r="M599" s="24"/>
      <c r="N599" s="24"/>
      <c r="O599" s="24"/>
      <c r="P599" s="24"/>
      <c r="Q599" s="24"/>
      <c r="R599" s="24"/>
      <c r="S599" s="24"/>
      <c r="T599" s="24"/>
      <c r="U599" s="24"/>
      <c r="V599" s="26"/>
    </row>
    <row r="600" spans="2:36" x14ac:dyDescent="0.25">
      <c r="B600" s="24"/>
      <c r="C600" s="25"/>
      <c r="D600" s="25"/>
      <c r="E600" s="24"/>
      <c r="F600" s="24"/>
      <c r="G600" s="24"/>
      <c r="H600" s="24"/>
      <c r="I600" s="24"/>
      <c r="J600" s="24"/>
      <c r="K600" s="24"/>
      <c r="L600" s="24"/>
      <c r="M600" s="24"/>
      <c r="N600" s="24"/>
      <c r="O600" s="24"/>
      <c r="P600" s="24"/>
      <c r="Q600" s="24"/>
      <c r="R600" s="24"/>
      <c r="S600" s="24"/>
      <c r="T600" s="24"/>
      <c r="U600" s="24"/>
      <c r="V600" s="26"/>
    </row>
    <row r="601" spans="2:36" x14ac:dyDescent="0.25">
      <c r="B601" s="24"/>
      <c r="C601" s="25"/>
      <c r="D601" s="25"/>
      <c r="E601" s="24"/>
      <c r="F601" s="24"/>
      <c r="G601" s="24"/>
      <c r="H601" s="24"/>
      <c r="I601" s="24"/>
      <c r="J601" s="24"/>
      <c r="K601" s="24"/>
      <c r="L601" s="24"/>
      <c r="M601" s="24"/>
      <c r="N601" s="24"/>
      <c r="O601" s="24"/>
      <c r="P601" s="24"/>
      <c r="Q601" s="24"/>
      <c r="R601" s="24"/>
      <c r="S601" s="24"/>
      <c r="T601" s="24"/>
      <c r="U601" s="24"/>
      <c r="V601" s="26"/>
    </row>
    <row r="602" spans="2:36" x14ac:dyDescent="0.25">
      <c r="B602" s="24"/>
      <c r="C602" s="25"/>
      <c r="D602" s="25"/>
      <c r="E602" s="24"/>
      <c r="F602" s="24"/>
      <c r="G602" s="24"/>
      <c r="H602" s="24"/>
      <c r="I602" s="24"/>
      <c r="J602" s="24"/>
      <c r="K602" s="24"/>
      <c r="L602" s="24"/>
      <c r="M602" s="24"/>
      <c r="N602" s="24"/>
      <c r="O602" s="24"/>
      <c r="P602" s="24"/>
      <c r="Q602" s="24"/>
      <c r="R602" s="24"/>
      <c r="S602" s="24"/>
      <c r="T602" s="24"/>
      <c r="U602" s="24"/>
      <c r="V602" s="26"/>
    </row>
  </sheetData>
  <sheetProtection selectLockedCells="1"/>
  <mergeCells count="25">
    <mergeCell ref="I332:J332"/>
    <mergeCell ref="K332:L332"/>
    <mergeCell ref="O332:P332"/>
    <mergeCell ref="Q332:U332"/>
    <mergeCell ref="I333:J333"/>
    <mergeCell ref="K333:L333"/>
    <mergeCell ref="O333:P333"/>
    <mergeCell ref="Q333:U333"/>
    <mergeCell ref="O6:P6"/>
    <mergeCell ref="Q6:U6"/>
    <mergeCell ref="E326:G326"/>
    <mergeCell ref="I331:J331"/>
    <mergeCell ref="K331:L331"/>
    <mergeCell ref="O331:P331"/>
    <mergeCell ref="Q331:U331"/>
    <mergeCell ref="B2:V2"/>
    <mergeCell ref="E4:V4"/>
    <mergeCell ref="E5:G6"/>
    <mergeCell ref="I5:J5"/>
    <mergeCell ref="K5:L5"/>
    <mergeCell ref="O5:P5"/>
    <mergeCell ref="Q5:U5"/>
    <mergeCell ref="V5:V6"/>
    <mergeCell ref="I6:J6"/>
    <mergeCell ref="K6:L6"/>
  </mergeCells>
  <conditionalFormatting sqref="G8:G325">
    <cfRule type="expression" dxfId="249" priority="6">
      <formula>$G8&lt;&gt;""</formula>
    </cfRule>
  </conditionalFormatting>
  <conditionalFormatting sqref="M332:O332 K332 H332:I332 Q332">
    <cfRule type="cellIs" dxfId="248" priority="3" operator="greaterThanOrEqual">
      <formula>0.9</formula>
    </cfRule>
    <cfRule type="cellIs" dxfId="247" priority="4" operator="between">
      <formula>0.00001</formula>
      <formula>0.499999</formula>
    </cfRule>
    <cfRule type="cellIs" dxfId="246" priority="5" operator="between">
      <formula>0.5</formula>
      <formula>0.89999</formula>
    </cfRule>
  </conditionalFormatting>
  <conditionalFormatting sqref="K332:K333 H332:I332 M332:O333 Q332:Q333">
    <cfRule type="containsErrors" dxfId="245" priority="7">
      <formula>ISERROR(H332)</formula>
    </cfRule>
  </conditionalFormatting>
  <conditionalFormatting sqref="H333:I333">
    <cfRule type="containsErrors" dxfId="244" priority="2">
      <formula>ISERROR(H333)</formula>
    </cfRule>
  </conditionalFormatting>
  <conditionalFormatting sqref="G8:G325">
    <cfRule type="expression" dxfId="243" priority="1">
      <formula>$G8=FALSE</formula>
    </cfRule>
  </conditionalFormatting>
  <pageMargins left="0.25" right="0.25" top="0.75" bottom="0.75" header="0.3" footer="0.3"/>
  <pageSetup scale="78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CFB840F0-95F9-4101-B3AB-F8E472B18733}">
          <x14:formula1>
            <xm:f>Données!$N$1:$N$4</xm:f>
          </x14:formula1>
          <xm:sqref>G8 G11</xm:sqref>
        </x14:dataValidation>
        <x14:dataValidation type="list" allowBlank="1" showInputMessage="1" showErrorMessage="1" xr:uid="{05855735-0C3F-40C2-B933-73971CF93D13}">
          <x14:formula1>
            <xm:f>Données!$N$1:$N$4</xm:f>
          </x14:formula1>
          <xm:sqref>G9:G10 G12:G325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E4F42-7535-459B-B978-A7CFB1EA880D}">
  <sheetPr codeName="Feuil19">
    <tabColor theme="9"/>
    <pageSetUpPr fitToPage="1"/>
  </sheetPr>
  <dimension ref="A1:AL602"/>
  <sheetViews>
    <sheetView showGridLines="0" zoomScaleNormal="100" workbookViewId="0">
      <selection activeCell="H6" sqref="H6"/>
    </sheetView>
  </sheetViews>
  <sheetFormatPr baseColWidth="10" defaultColWidth="11.42578125" defaultRowHeight="15" x14ac:dyDescent="0.25"/>
  <cols>
    <col min="1" max="1" width="2.7109375" style="69" customWidth="1"/>
    <col min="2" max="2" width="23.5703125" style="3" customWidth="1"/>
    <col min="3" max="3" width="22.42578125" style="4" hidden="1" customWidth="1"/>
    <col min="4" max="4" width="25.140625" style="4" hidden="1" customWidth="1"/>
    <col min="5" max="5" width="15" style="3" customWidth="1"/>
    <col min="6" max="6" width="12.42578125" style="3" hidden="1" customWidth="1"/>
    <col min="7" max="7" width="6" style="3" customWidth="1"/>
    <col min="8" max="8" width="10.7109375" style="3" customWidth="1"/>
    <col min="9" max="21" width="7.85546875" style="3" customWidth="1"/>
    <col min="22" max="22" width="32.28515625" style="1" customWidth="1"/>
    <col min="23" max="23" width="4.140625" style="69" customWidth="1"/>
    <col min="24" max="25" width="11.42578125" style="69"/>
    <col min="26" max="27" width="11.42578125" style="73"/>
    <col min="28" max="35" width="11.42578125" style="69"/>
    <col min="36" max="36" width="11.42578125" style="72"/>
    <col min="37" max="16384" width="11.42578125" style="3"/>
  </cols>
  <sheetData>
    <row r="1" spans="1:38" s="69" customFormat="1" ht="3" customHeight="1" x14ac:dyDescent="0.25">
      <c r="A1" s="75"/>
      <c r="B1" s="75"/>
      <c r="C1" s="76"/>
      <c r="D1" s="76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7"/>
      <c r="W1" s="75"/>
      <c r="X1" s="75"/>
      <c r="Y1" s="75"/>
      <c r="Z1" s="96"/>
      <c r="AA1" s="96">
        <v>3698</v>
      </c>
      <c r="AB1" s="75"/>
      <c r="AC1" s="75"/>
      <c r="AD1" s="75"/>
      <c r="AE1" s="75"/>
      <c r="AF1" s="75"/>
      <c r="AG1" s="75"/>
      <c r="AH1" s="75"/>
      <c r="AI1" s="137"/>
      <c r="AJ1" s="79"/>
      <c r="AK1" s="75"/>
    </row>
    <row r="2" spans="1:38" ht="46.5" x14ac:dyDescent="0.25">
      <c r="A2" s="75"/>
      <c r="B2" s="160" t="s">
        <v>85</v>
      </c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161"/>
      <c r="V2" s="162"/>
      <c r="W2" s="75"/>
      <c r="X2" s="75"/>
      <c r="Y2" s="75"/>
      <c r="Z2" s="96"/>
      <c r="AA2" s="96"/>
      <c r="AB2" s="75"/>
      <c r="AC2" s="75"/>
      <c r="AD2" s="75"/>
      <c r="AE2" s="75"/>
      <c r="AF2" s="75"/>
      <c r="AG2" s="75"/>
      <c r="AH2" s="75"/>
      <c r="AI2" s="75"/>
      <c r="AJ2" s="79"/>
      <c r="AK2" s="75"/>
      <c r="AL2" s="75"/>
    </row>
    <row r="3" spans="1:38" s="69" customFormat="1" ht="3" customHeight="1" x14ac:dyDescent="0.25">
      <c r="A3" s="75"/>
      <c r="B3" s="75"/>
      <c r="C3" s="76"/>
      <c r="D3" s="76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7"/>
      <c r="W3" s="75"/>
      <c r="X3" s="75"/>
      <c r="Y3" s="75"/>
      <c r="Z3" s="96"/>
      <c r="AA3" s="96"/>
      <c r="AB3" s="75"/>
      <c r="AC3" s="75"/>
      <c r="AD3" s="75"/>
      <c r="AE3" s="75"/>
      <c r="AF3" s="75"/>
      <c r="AG3" s="75"/>
      <c r="AH3" s="75"/>
      <c r="AI3" s="75"/>
      <c r="AJ3" s="81"/>
      <c r="AK3" s="75"/>
      <c r="AL3" s="75"/>
    </row>
    <row r="4" spans="1:38" ht="46.5" customHeight="1" x14ac:dyDescent="0.25">
      <c r="A4" s="75"/>
      <c r="B4" s="75"/>
      <c r="C4" s="50"/>
      <c r="D4" s="50"/>
      <c r="E4" s="163" t="s">
        <v>125</v>
      </c>
      <c r="F4" s="164"/>
      <c r="G4" s="164"/>
      <c r="H4" s="164"/>
      <c r="I4" s="164"/>
      <c r="J4" s="164"/>
      <c r="K4" s="164"/>
      <c r="L4" s="164"/>
      <c r="M4" s="164"/>
      <c r="N4" s="164"/>
      <c r="O4" s="164"/>
      <c r="P4" s="164"/>
      <c r="Q4" s="164"/>
      <c r="R4" s="164"/>
      <c r="S4" s="164"/>
      <c r="T4" s="164"/>
      <c r="U4" s="164"/>
      <c r="V4" s="165"/>
      <c r="W4" s="75"/>
      <c r="X4" s="75"/>
      <c r="Y4" s="75"/>
      <c r="Z4" s="96"/>
      <c r="AA4" s="96"/>
      <c r="AB4" s="75"/>
      <c r="AC4" s="75"/>
      <c r="AD4" s="75"/>
      <c r="AE4" s="75"/>
      <c r="AF4" s="75"/>
      <c r="AG4" s="75"/>
      <c r="AH4" s="75"/>
      <c r="AI4" s="75"/>
      <c r="AJ4" s="81"/>
      <c r="AK4" s="75"/>
      <c r="AL4" s="75"/>
    </row>
    <row r="5" spans="1:38" ht="30.75" customHeight="1" x14ac:dyDescent="0.25">
      <c r="A5" s="75"/>
      <c r="B5" s="75"/>
      <c r="C5" s="50"/>
      <c r="D5" s="50"/>
      <c r="E5" s="166" t="s">
        <v>3</v>
      </c>
      <c r="F5" s="167"/>
      <c r="G5" s="168"/>
      <c r="H5" s="147">
        <v>10</v>
      </c>
      <c r="I5" s="172">
        <v>10</v>
      </c>
      <c r="J5" s="173"/>
      <c r="K5" s="172">
        <v>10</v>
      </c>
      <c r="L5" s="173"/>
      <c r="M5" s="151">
        <v>10</v>
      </c>
      <c r="N5" s="151">
        <v>10</v>
      </c>
      <c r="O5" s="172">
        <v>10</v>
      </c>
      <c r="P5" s="173"/>
      <c r="Q5" s="172">
        <v>10</v>
      </c>
      <c r="R5" s="183"/>
      <c r="S5" s="183"/>
      <c r="T5" s="183"/>
      <c r="U5" s="173"/>
      <c r="V5" s="184">
        <v>2</v>
      </c>
      <c r="W5" s="81"/>
      <c r="X5" s="75"/>
      <c r="Y5" s="75"/>
      <c r="Z5" s="96"/>
      <c r="AA5" s="96"/>
      <c r="AB5" s="75"/>
      <c r="AC5" s="75"/>
      <c r="AD5" s="75"/>
      <c r="AE5" s="75"/>
      <c r="AF5" s="75"/>
      <c r="AG5" s="75"/>
      <c r="AH5" s="75"/>
      <c r="AI5" s="75"/>
      <c r="AJ5" s="81"/>
      <c r="AK5" s="75"/>
      <c r="AL5" s="75"/>
    </row>
    <row r="6" spans="1:38" ht="30.75" customHeight="1" x14ac:dyDescent="0.25">
      <c r="A6" s="75"/>
      <c r="B6" s="75"/>
      <c r="C6" s="50"/>
      <c r="D6" s="50"/>
      <c r="E6" s="169"/>
      <c r="F6" s="170"/>
      <c r="G6" s="171"/>
      <c r="H6" s="150" t="s">
        <v>100</v>
      </c>
      <c r="I6" s="174" t="s">
        <v>101</v>
      </c>
      <c r="J6" s="175"/>
      <c r="K6" s="176" t="s">
        <v>102</v>
      </c>
      <c r="L6" s="177"/>
      <c r="M6" s="156" t="s">
        <v>103</v>
      </c>
      <c r="N6" s="156" t="s">
        <v>104</v>
      </c>
      <c r="O6" s="178" t="s">
        <v>105</v>
      </c>
      <c r="P6" s="179"/>
      <c r="Q6" s="180" t="s">
        <v>106</v>
      </c>
      <c r="R6" s="181"/>
      <c r="S6" s="181"/>
      <c r="T6" s="181"/>
      <c r="U6" s="182"/>
      <c r="V6" s="185"/>
      <c r="W6" s="81"/>
      <c r="X6" s="75"/>
      <c r="Y6" s="75"/>
      <c r="Z6" s="96"/>
      <c r="AA6" s="96"/>
      <c r="AB6" s="75"/>
      <c r="AC6" s="75"/>
      <c r="AD6" s="75"/>
      <c r="AE6" s="75"/>
      <c r="AF6" s="75"/>
      <c r="AG6" s="75"/>
      <c r="AH6" s="75"/>
      <c r="AI6" s="75"/>
      <c r="AJ6" s="81"/>
      <c r="AK6" s="75"/>
      <c r="AL6" s="75"/>
    </row>
    <row r="7" spans="1:38" s="1" customFormat="1" ht="87" customHeight="1" x14ac:dyDescent="0.25">
      <c r="A7" s="77"/>
      <c r="B7" s="138"/>
      <c r="C7" s="32" t="s">
        <v>10</v>
      </c>
      <c r="D7" s="33" t="s">
        <v>82</v>
      </c>
      <c r="E7" s="86" t="s">
        <v>11</v>
      </c>
      <c r="F7" s="34" t="s">
        <v>12</v>
      </c>
      <c r="G7" s="86" t="s">
        <v>13</v>
      </c>
      <c r="H7" s="146" t="s">
        <v>107</v>
      </c>
      <c r="I7" s="145" t="s">
        <v>108</v>
      </c>
      <c r="J7" s="145" t="s">
        <v>109</v>
      </c>
      <c r="K7" s="139" t="s">
        <v>110</v>
      </c>
      <c r="L7" s="139" t="s">
        <v>111</v>
      </c>
      <c r="M7" s="144" t="s">
        <v>112</v>
      </c>
      <c r="N7" s="144" t="s">
        <v>113</v>
      </c>
      <c r="O7" s="140" t="s">
        <v>114</v>
      </c>
      <c r="P7" s="141" t="s">
        <v>115</v>
      </c>
      <c r="Q7" s="142" t="s">
        <v>116</v>
      </c>
      <c r="R7" s="142" t="s">
        <v>117</v>
      </c>
      <c r="S7" s="142" t="s">
        <v>118</v>
      </c>
      <c r="T7" s="142" t="s">
        <v>119</v>
      </c>
      <c r="U7" s="142" t="s">
        <v>120</v>
      </c>
      <c r="V7" s="86" t="s">
        <v>15</v>
      </c>
      <c r="W7" s="77"/>
      <c r="X7" s="77"/>
      <c r="Y7" s="77"/>
      <c r="Z7" s="97"/>
      <c r="AA7" s="97"/>
      <c r="AB7" s="77"/>
      <c r="AC7" s="77"/>
      <c r="AD7" s="77"/>
      <c r="AE7" s="77"/>
      <c r="AF7" s="77"/>
      <c r="AG7" s="77"/>
      <c r="AH7" s="77"/>
      <c r="AI7" s="77"/>
      <c r="AJ7" s="94"/>
      <c r="AK7" s="77"/>
      <c r="AL7" s="77"/>
    </row>
    <row r="8" spans="1:38" x14ac:dyDescent="0.25">
      <c r="A8" s="75"/>
      <c r="B8" s="75"/>
      <c r="C8" s="35">
        <f>INDEX(Données!$F$2:$L$54,MATCH(F8,Données!$F$2:$F$54,0),2)</f>
        <v>43829</v>
      </c>
      <c r="D8" s="28" t="str">
        <f t="shared" ref="D8:D71" si="0">$E$4</f>
        <v>#2</v>
      </c>
      <c r="E8" s="5">
        <f>Données!G2</f>
        <v>43829</v>
      </c>
      <c r="F8" s="10" t="str">
        <f>INDEX(Données!$F$2:$L$54,MATCH('#2'!E8,Données!$G$2:$G$54,1),1)</f>
        <v>1</v>
      </c>
      <c r="G8" s="18" t="str">
        <f t="shared" ref="G8:G71" si="1">IF(AND($V$5=1),"PS-1",IF(AND($V$5=2),"PS-2",IF(AND($V$5=4),"PS-4",IF(AND($V$5=6),"S.O.",IF(AND($V$5=5),"")))))</f>
        <v>PS-2</v>
      </c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9"/>
      <c r="W8" s="75"/>
      <c r="X8" s="75"/>
      <c r="Y8" s="75"/>
      <c r="Z8" s="96">
        <f>SUM(Tableau14[[#This Row],[A-1]:[G-5]])</f>
        <v>0</v>
      </c>
      <c r="AA8" s="96" t="str">
        <f>IF(AND(Z8&gt;0,Tableau14[[#This Row],[CDS]]=""),"Oui","Non")</f>
        <v>Non</v>
      </c>
      <c r="AB8" s="75"/>
      <c r="AC8" s="75"/>
      <c r="AD8" s="75"/>
      <c r="AE8" s="75"/>
      <c r="AF8" s="75"/>
      <c r="AG8" s="75"/>
      <c r="AH8" s="75"/>
      <c r="AI8" s="75"/>
      <c r="AJ8" s="81"/>
      <c r="AK8" s="75"/>
      <c r="AL8" s="75"/>
    </row>
    <row r="9" spans="1:38" x14ac:dyDescent="0.25">
      <c r="A9" s="75"/>
      <c r="B9" s="75"/>
      <c r="C9" s="35">
        <f>INDEX(Données!$F$2:$L$54,MATCH(F9,Données!$F$2:$F$54,0),2)</f>
        <v>43829</v>
      </c>
      <c r="D9" s="29" t="str">
        <f t="shared" si="0"/>
        <v>#2</v>
      </c>
      <c r="E9" s="7">
        <f>Données!H2</f>
        <v>43830</v>
      </c>
      <c r="F9" s="6" t="str">
        <f>INDEX(Données!$F$2:$L$54,MATCH('#2'!E9,Données!$G$2:$G$54,1),1)</f>
        <v>1</v>
      </c>
      <c r="G9" s="18" t="str">
        <f t="shared" si="1"/>
        <v>PS-2</v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1"/>
      <c r="W9" s="75"/>
      <c r="X9" s="75"/>
      <c r="Y9" s="75"/>
      <c r="Z9" s="96">
        <f>SUM(Tableau14[[#This Row],[A-1]:[G-5]])</f>
        <v>0</v>
      </c>
      <c r="AA9" s="96" t="str">
        <f>IF(AND(Z9&gt;0,Tableau14[[#This Row],[CDS]]=""),"Oui","Non")</f>
        <v>Non</v>
      </c>
      <c r="AB9" s="75"/>
      <c r="AC9" s="75"/>
      <c r="AD9" s="75"/>
      <c r="AE9" s="75"/>
      <c r="AF9" s="75"/>
      <c r="AG9" s="75"/>
      <c r="AH9" s="75"/>
      <c r="AI9" s="75"/>
      <c r="AJ9" s="81"/>
      <c r="AK9" s="75"/>
      <c r="AL9" s="75"/>
    </row>
    <row r="10" spans="1:38" x14ac:dyDescent="0.25">
      <c r="A10" s="75"/>
      <c r="B10" s="75"/>
      <c r="C10" s="35">
        <f>INDEX(Données!$F$2:$L$54,MATCH(F10,Données!$F$2:$F$54,0),2)</f>
        <v>43829</v>
      </c>
      <c r="D10" s="29" t="str">
        <f t="shared" si="0"/>
        <v>#2</v>
      </c>
      <c r="E10" s="7">
        <f>Données!I2</f>
        <v>43831</v>
      </c>
      <c r="F10" s="6" t="str">
        <f>INDEX(Données!$F$2:$L$54,MATCH('#2'!E10,Données!$G$2:$G$54,1),1)</f>
        <v>1</v>
      </c>
      <c r="G10" s="18" t="str">
        <f t="shared" si="1"/>
        <v>PS-2</v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1"/>
      <c r="W10" s="75"/>
      <c r="X10" s="75"/>
      <c r="Y10" s="75"/>
      <c r="Z10" s="96">
        <f>SUM(Tableau14[[#This Row],[A-1]:[G-5]])</f>
        <v>0</v>
      </c>
      <c r="AA10" s="96" t="str">
        <f>IF(AND(Z10&gt;0,Tableau14[[#This Row],[CDS]]=""),"Oui","Non")</f>
        <v>Non</v>
      </c>
      <c r="AB10" s="75"/>
      <c r="AC10" s="75"/>
      <c r="AD10" s="75"/>
      <c r="AE10" s="75"/>
      <c r="AF10" s="75"/>
      <c r="AG10" s="75"/>
      <c r="AH10" s="75"/>
      <c r="AI10" s="75"/>
      <c r="AJ10" s="81"/>
      <c r="AK10" s="75"/>
      <c r="AL10" s="75"/>
    </row>
    <row r="11" spans="1:38" x14ac:dyDescent="0.25">
      <c r="A11" s="75"/>
      <c r="B11" s="75"/>
      <c r="C11" s="35">
        <f>INDEX(Données!$F$2:$L$54,MATCH(F11,Données!$F$2:$F$54,0),2)</f>
        <v>43829</v>
      </c>
      <c r="D11" s="29" t="str">
        <f t="shared" si="0"/>
        <v>#2</v>
      </c>
      <c r="E11" s="7">
        <f>Données!J2</f>
        <v>43832</v>
      </c>
      <c r="F11" s="6" t="str">
        <f>INDEX(Données!$F$2:$L$54,MATCH('#2'!E11,Données!$G$2:$G$54,1),1)</f>
        <v>1</v>
      </c>
      <c r="G11" s="18" t="str">
        <f t="shared" si="1"/>
        <v>PS-2</v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1"/>
      <c r="W11" s="75"/>
      <c r="X11" s="75"/>
      <c r="Y11" s="75"/>
      <c r="Z11" s="96">
        <f>SUM(Tableau14[[#This Row],[A-1]:[G-5]])</f>
        <v>0</v>
      </c>
      <c r="AA11" s="96" t="str">
        <f>IF(AND(Z11&gt;0,Tableau14[[#This Row],[CDS]]=""),"Oui","Non")</f>
        <v>Non</v>
      </c>
      <c r="AB11" s="75"/>
      <c r="AC11" s="75"/>
      <c r="AD11" s="75"/>
      <c r="AE11" s="75"/>
      <c r="AF11" s="75"/>
      <c r="AG11" s="75"/>
      <c r="AH11" s="75"/>
      <c r="AI11" s="75"/>
      <c r="AJ11" s="81"/>
      <c r="AK11" s="75"/>
      <c r="AL11" s="75"/>
    </row>
    <row r="12" spans="1:38" x14ac:dyDescent="0.25">
      <c r="A12" s="75"/>
      <c r="B12" s="75"/>
      <c r="C12" s="35">
        <f>INDEX(Données!$F$2:$L$54,MATCH(F12,Données!$F$2:$F$54,0),2)</f>
        <v>43829</v>
      </c>
      <c r="D12" s="29" t="str">
        <f t="shared" si="0"/>
        <v>#2</v>
      </c>
      <c r="E12" s="7">
        <f>Données!K2</f>
        <v>43833</v>
      </c>
      <c r="F12" s="6" t="str">
        <f>INDEX(Données!$F$2:$L$54,MATCH('#2'!E12,Données!$G$2:$G$54,1),1)</f>
        <v>1</v>
      </c>
      <c r="G12" s="18" t="str">
        <f t="shared" si="1"/>
        <v>PS-2</v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1"/>
      <c r="W12" s="75"/>
      <c r="X12" s="75"/>
      <c r="Y12" s="75"/>
      <c r="Z12" s="96">
        <f>SUM(Tableau14[[#This Row],[A-1]:[G-5]])</f>
        <v>0</v>
      </c>
      <c r="AA12" s="96" t="str">
        <f>IF(AND(Z12&gt;0,Tableau14[[#This Row],[CDS]]=""),"Oui","Non")</f>
        <v>Non</v>
      </c>
      <c r="AB12" s="75"/>
      <c r="AC12" s="75"/>
      <c r="AD12" s="75"/>
      <c r="AE12" s="75"/>
      <c r="AF12" s="75"/>
      <c r="AG12" s="75"/>
      <c r="AH12" s="75"/>
      <c r="AI12" s="75"/>
      <c r="AJ12" s="81"/>
      <c r="AK12" s="75"/>
      <c r="AL12" s="75"/>
    </row>
    <row r="13" spans="1:38" ht="15.75" thickBot="1" x14ac:dyDescent="0.3">
      <c r="A13" s="75"/>
      <c r="B13" s="75"/>
      <c r="C13" s="35">
        <f>INDEX(Données!$F$2:$L$54,MATCH(F13,Données!$F$2:$F$54,0),2)</f>
        <v>43829</v>
      </c>
      <c r="D13" s="29" t="str">
        <f t="shared" si="0"/>
        <v>#2</v>
      </c>
      <c r="E13" s="7">
        <f>Données!L2</f>
        <v>43834</v>
      </c>
      <c r="F13" s="6" t="str">
        <f>INDEX(Données!$F$2:$L$54,MATCH('#2'!E13,Données!$G$2:$G$54,1),1)</f>
        <v>1</v>
      </c>
      <c r="G13" s="18" t="str">
        <f t="shared" si="1"/>
        <v>PS-2</v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1"/>
      <c r="W13" s="75"/>
      <c r="X13" s="75"/>
      <c r="Y13" s="75"/>
      <c r="Z13" s="96">
        <f>SUM(Tableau14[[#This Row],[A-1]:[G-5]])</f>
        <v>0</v>
      </c>
      <c r="AA13" s="96" t="str">
        <f>IF(AND(Z13&gt;0,Tableau14[[#This Row],[CDS]]=""),"Oui","Non")</f>
        <v>Non</v>
      </c>
      <c r="AB13" s="75"/>
      <c r="AC13" s="75"/>
      <c r="AD13" s="75"/>
      <c r="AE13" s="75"/>
      <c r="AF13" s="75"/>
      <c r="AG13" s="75"/>
      <c r="AH13" s="75"/>
      <c r="AI13" s="75"/>
      <c r="AJ13" s="81"/>
      <c r="AK13" s="75"/>
      <c r="AL13" s="75"/>
    </row>
    <row r="14" spans="1:38" ht="15.75" hidden="1" thickBot="1" x14ac:dyDescent="0.3">
      <c r="A14" s="75"/>
      <c r="B14" s="75"/>
      <c r="C14" s="35">
        <f>INDEX(Données!$F$2:$L$54,MATCH(F14,Données!$F$2:$F$54,0),2)</f>
        <v>43836</v>
      </c>
      <c r="D14" s="29" t="str">
        <f t="shared" si="0"/>
        <v>#2</v>
      </c>
      <c r="E14" s="7">
        <f>Données!G3</f>
        <v>43836</v>
      </c>
      <c r="F14" s="6" t="str">
        <f>INDEX(Données!$F$2:$L$54,MATCH('#2'!E14,Données!$G$2:$G$54,1),1)</f>
        <v>2</v>
      </c>
      <c r="G14" s="18" t="str">
        <f t="shared" si="1"/>
        <v>PS-2</v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1"/>
      <c r="W14" s="75"/>
      <c r="X14" s="75"/>
      <c r="Y14" s="75"/>
      <c r="Z14" s="96">
        <f>SUM(Tableau14[[#This Row],[A-1]:[G-5]])</f>
        <v>0</v>
      </c>
      <c r="AA14" s="96" t="str">
        <f>IF(AND(Z14&gt;0,Tableau14[[#This Row],[CDS]]=""),"Oui","Non")</f>
        <v>Non</v>
      </c>
      <c r="AB14" s="75"/>
      <c r="AC14" s="75"/>
      <c r="AD14" s="75"/>
      <c r="AE14" s="75"/>
      <c r="AF14" s="75"/>
      <c r="AG14" s="75"/>
      <c r="AH14" s="75"/>
      <c r="AI14" s="75"/>
      <c r="AJ14" s="81"/>
      <c r="AK14" s="75"/>
      <c r="AL14" s="75"/>
    </row>
    <row r="15" spans="1:38" ht="15.75" hidden="1" thickBot="1" x14ac:dyDescent="0.3">
      <c r="A15" s="75"/>
      <c r="B15" s="75"/>
      <c r="C15" s="35">
        <f>INDEX(Données!$F$2:$L$54,MATCH(F15,Données!$F$2:$F$54,0),2)</f>
        <v>43836</v>
      </c>
      <c r="D15" s="29" t="str">
        <f t="shared" si="0"/>
        <v>#2</v>
      </c>
      <c r="E15" s="7">
        <f>Données!H3</f>
        <v>43837</v>
      </c>
      <c r="F15" s="6" t="str">
        <f>INDEX(Données!$F$2:$L$54,MATCH('#2'!E15,Données!$G$2:$G$54,1),1)</f>
        <v>2</v>
      </c>
      <c r="G15" s="18" t="str">
        <f t="shared" si="1"/>
        <v>PS-2</v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1"/>
      <c r="W15" s="75"/>
      <c r="X15" s="75"/>
      <c r="Y15" s="75"/>
      <c r="Z15" s="96">
        <f>SUM(Tableau14[[#This Row],[A-1]:[G-5]])</f>
        <v>0</v>
      </c>
      <c r="AA15" s="96" t="str">
        <f>IF(AND(Z15&gt;0,Tableau14[[#This Row],[CDS]]=""),"Oui","Non")</f>
        <v>Non</v>
      </c>
      <c r="AB15" s="75"/>
      <c r="AC15" s="75"/>
      <c r="AD15" s="75"/>
      <c r="AE15" s="75"/>
      <c r="AF15" s="75"/>
      <c r="AG15" s="75"/>
      <c r="AH15" s="75"/>
      <c r="AI15" s="75"/>
      <c r="AJ15" s="81"/>
      <c r="AK15" s="75"/>
      <c r="AL15" s="75"/>
    </row>
    <row r="16" spans="1:38" ht="15.75" hidden="1" thickBot="1" x14ac:dyDescent="0.3">
      <c r="A16" s="75"/>
      <c r="B16" s="75"/>
      <c r="C16" s="35">
        <f>INDEX(Données!$F$2:$L$54,MATCH(F16,Données!$F$2:$F$54,0),2)</f>
        <v>43836</v>
      </c>
      <c r="D16" s="29" t="str">
        <f t="shared" si="0"/>
        <v>#2</v>
      </c>
      <c r="E16" s="7">
        <f>Données!I3</f>
        <v>43838</v>
      </c>
      <c r="F16" s="6" t="str">
        <f>INDEX(Données!$F$2:$L$54,MATCH('#2'!E16,Données!$G$2:$G$54,1),1)</f>
        <v>2</v>
      </c>
      <c r="G16" s="18" t="str">
        <f t="shared" si="1"/>
        <v>PS-2</v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1"/>
      <c r="W16" s="75"/>
      <c r="X16" s="75"/>
      <c r="Y16" s="75"/>
      <c r="Z16" s="96">
        <f>SUM(Tableau14[[#This Row],[A-1]:[G-5]])</f>
        <v>0</v>
      </c>
      <c r="AA16" s="96" t="str">
        <f>IF(AND(Z16&gt;0,Tableau14[[#This Row],[CDS]]=""),"Oui","Non")</f>
        <v>Non</v>
      </c>
      <c r="AB16" s="75"/>
      <c r="AC16" s="75"/>
      <c r="AD16" s="75"/>
      <c r="AE16" s="75"/>
      <c r="AF16" s="75"/>
      <c r="AG16" s="75"/>
      <c r="AH16" s="75"/>
      <c r="AI16" s="75"/>
      <c r="AJ16" s="81"/>
      <c r="AK16" s="75"/>
      <c r="AL16" s="75"/>
    </row>
    <row r="17" spans="1:38" ht="15.75" hidden="1" thickBot="1" x14ac:dyDescent="0.3">
      <c r="A17" s="75"/>
      <c r="B17" s="75"/>
      <c r="C17" s="35">
        <f>INDEX(Données!$F$2:$L$54,MATCH(F17,Données!$F$2:$F$54,0),2)</f>
        <v>43836</v>
      </c>
      <c r="D17" s="29" t="str">
        <f t="shared" si="0"/>
        <v>#2</v>
      </c>
      <c r="E17" s="7">
        <f>Données!J3</f>
        <v>43839</v>
      </c>
      <c r="F17" s="6" t="str">
        <f>INDEX(Données!$F$2:$L$54,MATCH('#2'!E17,Données!$G$2:$G$54,1),1)</f>
        <v>2</v>
      </c>
      <c r="G17" s="18" t="str">
        <f t="shared" si="1"/>
        <v>PS-2</v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1"/>
      <c r="W17" s="75"/>
      <c r="X17" s="75"/>
      <c r="Y17" s="75"/>
      <c r="Z17" s="96">
        <f>SUM(Tableau14[[#This Row],[A-1]:[G-5]])</f>
        <v>0</v>
      </c>
      <c r="AA17" s="96" t="str">
        <f>IF(AND(Z17&gt;0,Tableau14[[#This Row],[CDS]]=""),"Oui","Non")</f>
        <v>Non</v>
      </c>
      <c r="AB17" s="75"/>
      <c r="AC17" s="75"/>
      <c r="AD17" s="75"/>
      <c r="AE17" s="75"/>
      <c r="AF17" s="75"/>
      <c r="AG17" s="75"/>
      <c r="AH17" s="75"/>
      <c r="AI17" s="75"/>
      <c r="AJ17" s="81"/>
      <c r="AK17" s="75"/>
      <c r="AL17" s="75"/>
    </row>
    <row r="18" spans="1:38" ht="15.75" hidden="1" thickBot="1" x14ac:dyDescent="0.3">
      <c r="A18" s="75"/>
      <c r="B18" s="75"/>
      <c r="C18" s="35">
        <f>INDEX(Données!$F$2:$L$54,MATCH(F18,Données!$F$2:$F$54,0),2)</f>
        <v>43836</v>
      </c>
      <c r="D18" s="29" t="str">
        <f t="shared" si="0"/>
        <v>#2</v>
      </c>
      <c r="E18" s="7">
        <f>Données!K3</f>
        <v>43840</v>
      </c>
      <c r="F18" s="6" t="str">
        <f>INDEX(Données!$F$2:$L$54,MATCH('#2'!E18,Données!$G$2:$G$54,1),1)</f>
        <v>2</v>
      </c>
      <c r="G18" s="18" t="str">
        <f t="shared" si="1"/>
        <v>PS-2</v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1"/>
      <c r="W18" s="75"/>
      <c r="X18" s="75"/>
      <c r="Y18" s="75"/>
      <c r="Z18" s="96">
        <f>SUM(Tableau14[[#This Row],[A-1]:[G-5]])</f>
        <v>0</v>
      </c>
      <c r="AA18" s="96" t="str">
        <f>IF(AND(Z18&gt;0,Tableau14[[#This Row],[CDS]]=""),"Oui","Non")</f>
        <v>Non</v>
      </c>
      <c r="AB18" s="75"/>
      <c r="AC18" s="75"/>
      <c r="AD18" s="75"/>
      <c r="AE18" s="75"/>
      <c r="AF18" s="75"/>
      <c r="AG18" s="75"/>
      <c r="AH18" s="75"/>
      <c r="AI18" s="75"/>
      <c r="AJ18" s="81"/>
      <c r="AK18" s="75"/>
      <c r="AL18" s="75"/>
    </row>
    <row r="19" spans="1:38" ht="15.75" hidden="1" thickBot="1" x14ac:dyDescent="0.3">
      <c r="A19" s="75"/>
      <c r="B19" s="75"/>
      <c r="C19" s="35">
        <f>INDEX(Données!$F$2:$L$54,MATCH(F19,Données!$F$2:$F$54,0),2)</f>
        <v>43836</v>
      </c>
      <c r="D19" s="29" t="str">
        <f t="shared" si="0"/>
        <v>#2</v>
      </c>
      <c r="E19" s="7">
        <f>Données!L3</f>
        <v>43841</v>
      </c>
      <c r="F19" s="6" t="str">
        <f>INDEX(Données!$F$2:$L$54,MATCH('#2'!E19,Données!$G$2:$G$54,1),1)</f>
        <v>2</v>
      </c>
      <c r="G19" s="18" t="str">
        <f t="shared" si="1"/>
        <v>PS-2</v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1"/>
      <c r="W19" s="75"/>
      <c r="X19" s="75"/>
      <c r="Y19" s="75"/>
      <c r="Z19" s="96">
        <f>SUM(Tableau14[[#This Row],[A-1]:[G-5]])</f>
        <v>0</v>
      </c>
      <c r="AA19" s="96" t="str">
        <f>IF(AND(Z19&gt;0,Tableau14[[#This Row],[CDS]]=""),"Oui","Non")</f>
        <v>Non</v>
      </c>
      <c r="AB19" s="75"/>
      <c r="AC19" s="75"/>
      <c r="AD19" s="75"/>
      <c r="AE19" s="75"/>
      <c r="AF19" s="75"/>
      <c r="AG19" s="75"/>
      <c r="AH19" s="75"/>
      <c r="AI19" s="75"/>
      <c r="AJ19" s="81"/>
      <c r="AK19" s="75"/>
      <c r="AL19" s="75"/>
    </row>
    <row r="20" spans="1:38" ht="15.75" hidden="1" thickBot="1" x14ac:dyDescent="0.3">
      <c r="A20" s="75"/>
      <c r="B20" s="75"/>
      <c r="C20" s="35">
        <f>INDEX(Données!$F$2:$L$54,MATCH(F20,Données!$F$2:$F$54,0),2)</f>
        <v>43843</v>
      </c>
      <c r="D20" s="29" t="str">
        <f t="shared" si="0"/>
        <v>#2</v>
      </c>
      <c r="E20" s="7">
        <f>Données!G4</f>
        <v>43843</v>
      </c>
      <c r="F20" s="6" t="str">
        <f>INDEX(Données!$F$2:$L$54,MATCH('#2'!E20,Données!$G$2:$G$54,1),1)</f>
        <v>3</v>
      </c>
      <c r="G20" s="18" t="str">
        <f t="shared" si="1"/>
        <v>PS-2</v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1"/>
      <c r="W20" s="75"/>
      <c r="X20" s="75"/>
      <c r="Y20" s="75"/>
      <c r="Z20" s="96">
        <f>SUM(Tableau14[[#This Row],[A-1]:[G-5]])</f>
        <v>0</v>
      </c>
      <c r="AA20" s="96" t="str">
        <f>IF(AND(Z20&gt;0,Tableau14[[#This Row],[CDS]]=""),"Oui","Non")</f>
        <v>Non</v>
      </c>
      <c r="AB20" s="75"/>
      <c r="AC20" s="75"/>
      <c r="AD20" s="75"/>
      <c r="AE20" s="75"/>
      <c r="AF20" s="75"/>
      <c r="AG20" s="75"/>
      <c r="AH20" s="75"/>
      <c r="AI20" s="75"/>
      <c r="AJ20" s="81"/>
      <c r="AK20" s="75"/>
      <c r="AL20" s="75"/>
    </row>
    <row r="21" spans="1:38" ht="15.75" hidden="1" thickBot="1" x14ac:dyDescent="0.3">
      <c r="A21" s="75"/>
      <c r="B21" s="75"/>
      <c r="C21" s="35">
        <f>INDEX(Données!$F$2:$L$54,MATCH(F21,Données!$F$2:$F$54,0),2)</f>
        <v>43843</v>
      </c>
      <c r="D21" s="29" t="str">
        <f t="shared" si="0"/>
        <v>#2</v>
      </c>
      <c r="E21" s="7">
        <f>Données!H4</f>
        <v>43844</v>
      </c>
      <c r="F21" s="6" t="str">
        <f>INDEX(Données!$F$2:$L$54,MATCH('#2'!E21,Données!$G$2:$G$54,1),1)</f>
        <v>3</v>
      </c>
      <c r="G21" s="18" t="str">
        <f t="shared" si="1"/>
        <v>PS-2</v>
      </c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1"/>
      <c r="W21" s="75"/>
      <c r="X21" s="75"/>
      <c r="Y21" s="75"/>
      <c r="Z21" s="96">
        <f>SUM(Tableau14[[#This Row],[A-1]:[G-5]])</f>
        <v>0</v>
      </c>
      <c r="AA21" s="96" t="str">
        <f>IF(AND(Z21&gt;0,Tableau14[[#This Row],[CDS]]=""),"Oui","Non")</f>
        <v>Non</v>
      </c>
      <c r="AB21" s="75"/>
      <c r="AC21" s="75"/>
      <c r="AD21" s="75"/>
      <c r="AE21" s="75"/>
      <c r="AF21" s="75"/>
      <c r="AG21" s="75"/>
      <c r="AH21" s="75"/>
      <c r="AI21" s="75"/>
      <c r="AJ21" s="81"/>
      <c r="AK21" s="75"/>
      <c r="AL21" s="75"/>
    </row>
    <row r="22" spans="1:38" ht="15.75" hidden="1" thickBot="1" x14ac:dyDescent="0.3">
      <c r="A22" s="75"/>
      <c r="B22" s="75"/>
      <c r="C22" s="35">
        <f>INDEX(Données!$F$2:$L$54,MATCH(F22,Données!$F$2:$F$54,0),2)</f>
        <v>43843</v>
      </c>
      <c r="D22" s="29" t="str">
        <f t="shared" si="0"/>
        <v>#2</v>
      </c>
      <c r="E22" s="7">
        <f>Données!I4</f>
        <v>43845</v>
      </c>
      <c r="F22" s="6" t="str">
        <f>INDEX(Données!$F$2:$L$54,MATCH('#2'!E22,Données!$G$2:$G$54,1),1)</f>
        <v>3</v>
      </c>
      <c r="G22" s="18" t="str">
        <f t="shared" si="1"/>
        <v>PS-2</v>
      </c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1"/>
      <c r="W22" s="75"/>
      <c r="X22" s="75"/>
      <c r="Y22" s="75"/>
      <c r="Z22" s="96">
        <f>SUM(Tableau14[[#This Row],[A-1]:[G-5]])</f>
        <v>0</v>
      </c>
      <c r="AA22" s="96" t="str">
        <f>IF(AND(Z22&gt;0,Tableau14[[#This Row],[CDS]]=""),"Oui","Non")</f>
        <v>Non</v>
      </c>
      <c r="AB22" s="75"/>
      <c r="AC22" s="75"/>
      <c r="AD22" s="75"/>
      <c r="AE22" s="75"/>
      <c r="AF22" s="75"/>
      <c r="AG22" s="75"/>
      <c r="AH22" s="75"/>
      <c r="AI22" s="75"/>
      <c r="AJ22" s="81"/>
      <c r="AK22" s="75"/>
      <c r="AL22" s="75"/>
    </row>
    <row r="23" spans="1:38" ht="15.75" hidden="1" thickBot="1" x14ac:dyDescent="0.3">
      <c r="A23" s="75"/>
      <c r="B23" s="75"/>
      <c r="C23" s="35">
        <f>INDEX(Données!$F$2:$L$54,MATCH(F23,Données!$F$2:$F$54,0),2)</f>
        <v>43843</v>
      </c>
      <c r="D23" s="29" t="str">
        <f t="shared" si="0"/>
        <v>#2</v>
      </c>
      <c r="E23" s="7">
        <f>Données!J4</f>
        <v>43846</v>
      </c>
      <c r="F23" s="6" t="str">
        <f>INDEX(Données!$F$2:$L$54,MATCH('#2'!E23,Données!$G$2:$G$54,1),1)</f>
        <v>3</v>
      </c>
      <c r="G23" s="18" t="str">
        <f t="shared" si="1"/>
        <v>PS-2</v>
      </c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1"/>
      <c r="W23" s="75"/>
      <c r="X23" s="75"/>
      <c r="Y23" s="75"/>
      <c r="Z23" s="96">
        <f>SUM(Tableau14[[#This Row],[A-1]:[G-5]])</f>
        <v>0</v>
      </c>
      <c r="AA23" s="96" t="str">
        <f>IF(AND(Z23&gt;0,Tableau14[[#This Row],[CDS]]=""),"Oui","Non")</f>
        <v>Non</v>
      </c>
      <c r="AB23" s="75"/>
      <c r="AC23" s="75"/>
      <c r="AD23" s="75"/>
      <c r="AE23" s="75"/>
      <c r="AF23" s="75"/>
      <c r="AG23" s="75"/>
      <c r="AH23" s="75"/>
      <c r="AI23" s="75"/>
      <c r="AJ23" s="81"/>
      <c r="AK23" s="75"/>
      <c r="AL23" s="75"/>
    </row>
    <row r="24" spans="1:38" ht="15.75" hidden="1" thickBot="1" x14ac:dyDescent="0.3">
      <c r="A24" s="75"/>
      <c r="B24" s="75"/>
      <c r="C24" s="35">
        <f>INDEX(Données!$F$2:$L$54,MATCH(F24,Données!$F$2:$F$54,0),2)</f>
        <v>43843</v>
      </c>
      <c r="D24" s="29" t="str">
        <f t="shared" si="0"/>
        <v>#2</v>
      </c>
      <c r="E24" s="7">
        <f>Données!K4</f>
        <v>43847</v>
      </c>
      <c r="F24" s="6" t="str">
        <f>INDEX(Données!$F$2:$L$54,MATCH('#2'!E24,Données!$G$2:$G$54,1),1)</f>
        <v>3</v>
      </c>
      <c r="G24" s="18" t="str">
        <f t="shared" si="1"/>
        <v>PS-2</v>
      </c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1"/>
      <c r="W24" s="75"/>
      <c r="X24" s="75"/>
      <c r="Y24" s="75"/>
      <c r="Z24" s="96">
        <f>SUM(Tableau14[[#This Row],[A-1]:[G-5]])</f>
        <v>0</v>
      </c>
      <c r="AA24" s="96" t="str">
        <f>IF(AND(Z24&gt;0,Tableau14[[#This Row],[CDS]]=""),"Oui","Non")</f>
        <v>Non</v>
      </c>
      <c r="AB24" s="75"/>
      <c r="AC24" s="75"/>
      <c r="AD24" s="75"/>
      <c r="AE24" s="75"/>
      <c r="AF24" s="75"/>
      <c r="AG24" s="75"/>
      <c r="AH24" s="75"/>
      <c r="AI24" s="75"/>
      <c r="AJ24" s="81"/>
      <c r="AK24" s="75"/>
      <c r="AL24" s="75"/>
    </row>
    <row r="25" spans="1:38" ht="15.75" hidden="1" thickBot="1" x14ac:dyDescent="0.3">
      <c r="A25" s="75"/>
      <c r="B25" s="75"/>
      <c r="C25" s="35">
        <f>INDEX(Données!$F$2:$L$54,MATCH(F25,Données!$F$2:$F$54,0),2)</f>
        <v>43843</v>
      </c>
      <c r="D25" s="29" t="str">
        <f t="shared" si="0"/>
        <v>#2</v>
      </c>
      <c r="E25" s="7">
        <f>Données!L4</f>
        <v>43848</v>
      </c>
      <c r="F25" s="6" t="str">
        <f>INDEX(Données!$F$2:$L$54,MATCH('#2'!E25,Données!$G$2:$G$54,1),1)</f>
        <v>3</v>
      </c>
      <c r="G25" s="18" t="str">
        <f t="shared" si="1"/>
        <v>PS-2</v>
      </c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1"/>
      <c r="W25" s="75"/>
      <c r="X25" s="75"/>
      <c r="Y25" s="75"/>
      <c r="Z25" s="96">
        <f>SUM(Tableau14[[#This Row],[A-1]:[G-5]])</f>
        <v>0</v>
      </c>
      <c r="AA25" s="96" t="str">
        <f>IF(AND(Z25&gt;0,Tableau14[[#This Row],[CDS]]=""),"Oui","Non")</f>
        <v>Non</v>
      </c>
      <c r="AB25" s="75"/>
      <c r="AC25" s="75"/>
      <c r="AD25" s="75"/>
      <c r="AE25" s="75"/>
      <c r="AF25" s="75"/>
      <c r="AG25" s="75"/>
      <c r="AH25" s="75"/>
      <c r="AI25" s="75"/>
      <c r="AJ25" s="81"/>
      <c r="AK25" s="75"/>
      <c r="AL25" s="75"/>
    </row>
    <row r="26" spans="1:38" ht="15.75" hidden="1" thickBot="1" x14ac:dyDescent="0.3">
      <c r="A26" s="75"/>
      <c r="B26" s="75"/>
      <c r="C26" s="35">
        <f>INDEX(Données!$F$2:$L$54,MATCH(F26,Données!$F$2:$F$54,0),2)</f>
        <v>43850</v>
      </c>
      <c r="D26" s="29" t="str">
        <f t="shared" si="0"/>
        <v>#2</v>
      </c>
      <c r="E26" s="7">
        <f>Données!G5</f>
        <v>43850</v>
      </c>
      <c r="F26" s="6" t="str">
        <f>INDEX(Données!$F$2:$L$54,MATCH('#2'!E26,Données!$G$2:$G$54,1),1)</f>
        <v>4</v>
      </c>
      <c r="G26" s="18" t="str">
        <f t="shared" si="1"/>
        <v>PS-2</v>
      </c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1"/>
      <c r="W26" s="75"/>
      <c r="X26" s="75"/>
      <c r="Y26" s="75"/>
      <c r="Z26" s="96">
        <f>SUM(Tableau14[[#This Row],[A-1]:[G-5]])</f>
        <v>0</v>
      </c>
      <c r="AA26" s="96" t="str">
        <f>IF(AND(Z26&gt;0,Tableau14[[#This Row],[CDS]]=""),"Oui","Non")</f>
        <v>Non</v>
      </c>
      <c r="AB26" s="75"/>
      <c r="AC26" s="75"/>
      <c r="AD26" s="75"/>
      <c r="AE26" s="75"/>
      <c r="AF26" s="75"/>
      <c r="AG26" s="75"/>
      <c r="AH26" s="75"/>
      <c r="AI26" s="75"/>
      <c r="AJ26" s="81"/>
      <c r="AK26" s="75"/>
      <c r="AL26" s="75"/>
    </row>
    <row r="27" spans="1:38" ht="15.75" hidden="1" thickBot="1" x14ac:dyDescent="0.3">
      <c r="A27" s="75"/>
      <c r="B27" s="75"/>
      <c r="C27" s="35">
        <f>INDEX(Données!$F$2:$L$54,MATCH(F27,Données!$F$2:$F$54,0),2)</f>
        <v>43850</v>
      </c>
      <c r="D27" s="29" t="str">
        <f t="shared" si="0"/>
        <v>#2</v>
      </c>
      <c r="E27" s="7">
        <f>Données!H5</f>
        <v>43851</v>
      </c>
      <c r="F27" s="6" t="str">
        <f>INDEX(Données!$F$2:$L$54,MATCH('#2'!E27,Données!$G$2:$G$54,1),1)</f>
        <v>4</v>
      </c>
      <c r="G27" s="18" t="str">
        <f t="shared" si="1"/>
        <v>PS-2</v>
      </c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1"/>
      <c r="W27" s="75"/>
      <c r="X27" s="75"/>
      <c r="Y27" s="75"/>
      <c r="Z27" s="96">
        <f>SUM(Tableau14[[#This Row],[A-1]:[G-5]])</f>
        <v>0</v>
      </c>
      <c r="AA27" s="96" t="str">
        <f>IF(AND(Z27&gt;0,Tableau14[[#This Row],[CDS]]=""),"Oui","Non")</f>
        <v>Non</v>
      </c>
      <c r="AB27" s="75"/>
      <c r="AC27" s="75"/>
      <c r="AD27" s="75"/>
      <c r="AE27" s="75"/>
      <c r="AF27" s="75"/>
      <c r="AG27" s="75"/>
      <c r="AH27" s="75"/>
      <c r="AI27" s="75"/>
      <c r="AJ27" s="81"/>
      <c r="AK27" s="75"/>
      <c r="AL27" s="75"/>
    </row>
    <row r="28" spans="1:38" ht="15.75" hidden="1" thickBot="1" x14ac:dyDescent="0.3">
      <c r="A28" s="75"/>
      <c r="B28" s="75"/>
      <c r="C28" s="35">
        <f>INDEX(Données!$F$2:$L$54,MATCH(F28,Données!$F$2:$F$54,0),2)</f>
        <v>43850</v>
      </c>
      <c r="D28" s="29" t="str">
        <f t="shared" si="0"/>
        <v>#2</v>
      </c>
      <c r="E28" s="7">
        <f>Données!I5</f>
        <v>43852</v>
      </c>
      <c r="F28" s="6" t="str">
        <f>INDEX(Données!$F$2:$L$54,MATCH('#2'!E28,Données!$G$2:$G$54,1),1)</f>
        <v>4</v>
      </c>
      <c r="G28" s="18" t="str">
        <f t="shared" si="1"/>
        <v>PS-2</v>
      </c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1"/>
      <c r="W28" s="75"/>
      <c r="X28" s="75"/>
      <c r="Y28" s="75"/>
      <c r="Z28" s="96">
        <f>SUM(Tableau14[[#This Row],[A-1]:[G-5]])</f>
        <v>0</v>
      </c>
      <c r="AA28" s="96" t="str">
        <f>IF(AND(Z28&gt;0,Tableau14[[#This Row],[CDS]]=""),"Oui","Non")</f>
        <v>Non</v>
      </c>
      <c r="AB28" s="75"/>
      <c r="AC28" s="75"/>
      <c r="AD28" s="75"/>
      <c r="AE28" s="75"/>
      <c r="AF28" s="75"/>
      <c r="AG28" s="75"/>
      <c r="AH28" s="75"/>
      <c r="AI28" s="75"/>
      <c r="AJ28" s="81"/>
      <c r="AK28" s="75"/>
      <c r="AL28" s="75"/>
    </row>
    <row r="29" spans="1:38" ht="15.75" hidden="1" thickBot="1" x14ac:dyDescent="0.3">
      <c r="A29" s="75"/>
      <c r="B29" s="75"/>
      <c r="C29" s="35">
        <f>INDEX(Données!$F$2:$L$54,MATCH(F29,Données!$F$2:$F$54,0),2)</f>
        <v>43850</v>
      </c>
      <c r="D29" s="29" t="str">
        <f t="shared" si="0"/>
        <v>#2</v>
      </c>
      <c r="E29" s="7">
        <f>Données!J5</f>
        <v>43853</v>
      </c>
      <c r="F29" s="6" t="str">
        <f>INDEX(Données!$F$2:$L$54,MATCH('#2'!E29,Données!$G$2:$G$54,1),1)</f>
        <v>4</v>
      </c>
      <c r="G29" s="18" t="str">
        <f t="shared" si="1"/>
        <v>PS-2</v>
      </c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1"/>
      <c r="W29" s="75"/>
      <c r="X29" s="75"/>
      <c r="Y29" s="75"/>
      <c r="Z29" s="96">
        <f>SUM(Tableau14[[#This Row],[A-1]:[G-5]])</f>
        <v>0</v>
      </c>
      <c r="AA29" s="96" t="str">
        <f>IF(AND(Z29&gt;0,Tableau14[[#This Row],[CDS]]=""),"Oui","Non")</f>
        <v>Non</v>
      </c>
      <c r="AB29" s="75"/>
      <c r="AC29" s="75"/>
      <c r="AD29" s="75"/>
      <c r="AE29" s="75"/>
      <c r="AF29" s="75"/>
      <c r="AG29" s="75"/>
      <c r="AH29" s="75"/>
      <c r="AI29" s="75"/>
      <c r="AJ29" s="81"/>
      <c r="AK29" s="75"/>
      <c r="AL29" s="75"/>
    </row>
    <row r="30" spans="1:38" ht="15.75" hidden="1" thickBot="1" x14ac:dyDescent="0.3">
      <c r="A30" s="75"/>
      <c r="B30" s="75"/>
      <c r="C30" s="35">
        <f>INDEX(Données!$F$2:$L$54,MATCH(F30,Données!$F$2:$F$54,0),2)</f>
        <v>43850</v>
      </c>
      <c r="D30" s="29" t="str">
        <f t="shared" si="0"/>
        <v>#2</v>
      </c>
      <c r="E30" s="7">
        <f>Données!K5</f>
        <v>43854</v>
      </c>
      <c r="F30" s="6" t="str">
        <f>INDEX(Données!$F$2:$L$54,MATCH('#2'!E30,Données!$G$2:$G$54,1),1)</f>
        <v>4</v>
      </c>
      <c r="G30" s="18" t="str">
        <f t="shared" si="1"/>
        <v>PS-2</v>
      </c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1"/>
      <c r="W30" s="75"/>
      <c r="X30" s="75"/>
      <c r="Y30" s="75"/>
      <c r="Z30" s="96">
        <f>SUM(Tableau14[[#This Row],[A-1]:[G-5]])</f>
        <v>0</v>
      </c>
      <c r="AA30" s="96" t="str">
        <f>IF(AND(Z30&gt;0,Tableau14[[#This Row],[CDS]]=""),"Oui","Non")</f>
        <v>Non</v>
      </c>
      <c r="AB30" s="75"/>
      <c r="AC30" s="75"/>
      <c r="AD30" s="75"/>
      <c r="AE30" s="75"/>
      <c r="AF30" s="75"/>
      <c r="AG30" s="75"/>
      <c r="AH30" s="75"/>
      <c r="AI30" s="75"/>
      <c r="AJ30" s="81"/>
      <c r="AK30" s="75"/>
      <c r="AL30" s="75"/>
    </row>
    <row r="31" spans="1:38" ht="15.75" hidden="1" thickBot="1" x14ac:dyDescent="0.3">
      <c r="A31" s="75"/>
      <c r="B31" s="75"/>
      <c r="C31" s="35">
        <f>INDEX(Données!$F$2:$L$54,MATCH(F31,Données!$F$2:$F$54,0),2)</f>
        <v>43850</v>
      </c>
      <c r="D31" s="29" t="str">
        <f t="shared" si="0"/>
        <v>#2</v>
      </c>
      <c r="E31" s="7">
        <f>Données!L5</f>
        <v>43855</v>
      </c>
      <c r="F31" s="6" t="str">
        <f>INDEX(Données!$F$2:$L$54,MATCH('#2'!E31,Données!$G$2:$G$54,1),1)</f>
        <v>4</v>
      </c>
      <c r="G31" s="18" t="str">
        <f t="shared" si="1"/>
        <v>PS-2</v>
      </c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1"/>
      <c r="W31" s="75"/>
      <c r="X31" s="75"/>
      <c r="Y31" s="75"/>
      <c r="Z31" s="96">
        <f>SUM(Tableau14[[#This Row],[A-1]:[G-5]])</f>
        <v>0</v>
      </c>
      <c r="AA31" s="96" t="str">
        <f>IF(AND(Z31&gt;0,Tableau14[[#This Row],[CDS]]=""),"Oui","Non")</f>
        <v>Non</v>
      </c>
      <c r="AB31" s="75"/>
      <c r="AC31" s="75"/>
      <c r="AD31" s="75"/>
      <c r="AE31" s="75"/>
      <c r="AF31" s="75"/>
      <c r="AG31" s="75"/>
      <c r="AH31" s="75"/>
      <c r="AI31" s="75"/>
      <c r="AJ31" s="81"/>
      <c r="AK31" s="75"/>
      <c r="AL31" s="75"/>
    </row>
    <row r="32" spans="1:38" ht="15.75" hidden="1" thickBot="1" x14ac:dyDescent="0.3">
      <c r="A32" s="75"/>
      <c r="B32" s="75"/>
      <c r="C32" s="35">
        <f>INDEX(Données!$F$2:$L$54,MATCH(F32,Données!$F$2:$F$54,0),2)</f>
        <v>43857</v>
      </c>
      <c r="D32" s="29" t="str">
        <f t="shared" si="0"/>
        <v>#2</v>
      </c>
      <c r="E32" s="7">
        <f>Données!G6</f>
        <v>43857</v>
      </c>
      <c r="F32" s="6" t="str">
        <f>INDEX(Données!$F$2:$L$54,MATCH('#2'!E32,Données!$G$2:$G$54,1),1)</f>
        <v>5</v>
      </c>
      <c r="G32" s="18" t="str">
        <f t="shared" si="1"/>
        <v>PS-2</v>
      </c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1"/>
      <c r="W32" s="75"/>
      <c r="X32" s="75"/>
      <c r="Y32" s="75"/>
      <c r="Z32" s="96">
        <f>SUM(Tableau14[[#This Row],[A-1]:[G-5]])</f>
        <v>0</v>
      </c>
      <c r="AA32" s="96" t="str">
        <f>IF(AND(Z32&gt;0,Tableau14[[#This Row],[CDS]]=""),"Oui","Non")</f>
        <v>Non</v>
      </c>
      <c r="AB32" s="75"/>
      <c r="AC32" s="75"/>
      <c r="AD32" s="75"/>
      <c r="AE32" s="75"/>
      <c r="AF32" s="75"/>
      <c r="AG32" s="75"/>
      <c r="AH32" s="75"/>
      <c r="AI32" s="75"/>
      <c r="AJ32" s="81"/>
      <c r="AK32" s="75"/>
      <c r="AL32" s="75"/>
    </row>
    <row r="33" spans="1:38" ht="15.75" hidden="1" thickBot="1" x14ac:dyDescent="0.3">
      <c r="A33" s="75"/>
      <c r="B33" s="75"/>
      <c r="C33" s="35">
        <f>INDEX(Données!$F$2:$L$54,MATCH(F33,Données!$F$2:$F$54,0),2)</f>
        <v>43857</v>
      </c>
      <c r="D33" s="29" t="str">
        <f t="shared" si="0"/>
        <v>#2</v>
      </c>
      <c r="E33" s="7">
        <f>Données!H6</f>
        <v>43858</v>
      </c>
      <c r="F33" s="6" t="str">
        <f>INDEX(Données!$F$2:$L$54,MATCH('#2'!E33,Données!$G$2:$G$54,1),1)</f>
        <v>5</v>
      </c>
      <c r="G33" s="18" t="str">
        <f t="shared" si="1"/>
        <v>PS-2</v>
      </c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1"/>
      <c r="W33" s="75"/>
      <c r="X33" s="75"/>
      <c r="Y33" s="75"/>
      <c r="Z33" s="96">
        <f>SUM(Tableau14[[#This Row],[A-1]:[G-5]])</f>
        <v>0</v>
      </c>
      <c r="AA33" s="96" t="str">
        <f>IF(AND(Z33&gt;0,Tableau14[[#This Row],[CDS]]=""),"Oui","Non")</f>
        <v>Non</v>
      </c>
      <c r="AB33" s="75"/>
      <c r="AC33" s="75"/>
      <c r="AD33" s="75"/>
      <c r="AE33" s="75"/>
      <c r="AF33" s="75"/>
      <c r="AG33" s="75"/>
      <c r="AH33" s="75"/>
      <c r="AI33" s="75"/>
      <c r="AJ33" s="81"/>
      <c r="AK33" s="75"/>
      <c r="AL33" s="75"/>
    </row>
    <row r="34" spans="1:38" ht="15.75" hidden="1" thickBot="1" x14ac:dyDescent="0.3">
      <c r="A34" s="75"/>
      <c r="B34" s="75"/>
      <c r="C34" s="35">
        <f>INDEX(Données!$F$2:$L$54,MATCH(F34,Données!$F$2:$F$54,0),2)</f>
        <v>43857</v>
      </c>
      <c r="D34" s="29" t="str">
        <f t="shared" si="0"/>
        <v>#2</v>
      </c>
      <c r="E34" s="7">
        <f>Données!I6</f>
        <v>43859</v>
      </c>
      <c r="F34" s="6" t="str">
        <f>INDEX(Données!$F$2:$L$54,MATCH('#2'!E34,Données!$G$2:$G$54,1),1)</f>
        <v>5</v>
      </c>
      <c r="G34" s="18" t="str">
        <f t="shared" si="1"/>
        <v>PS-2</v>
      </c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1"/>
      <c r="W34" s="75"/>
      <c r="X34" s="75"/>
      <c r="Y34" s="75"/>
      <c r="Z34" s="96">
        <f>SUM(Tableau14[[#This Row],[A-1]:[G-5]])</f>
        <v>0</v>
      </c>
      <c r="AA34" s="96" t="str">
        <f>IF(AND(Z34&gt;0,Tableau14[[#This Row],[CDS]]=""),"Oui","Non")</f>
        <v>Non</v>
      </c>
      <c r="AB34" s="75"/>
      <c r="AC34" s="75"/>
      <c r="AD34" s="75"/>
      <c r="AE34" s="75"/>
      <c r="AF34" s="75"/>
      <c r="AG34" s="75"/>
      <c r="AH34" s="75"/>
      <c r="AI34" s="75"/>
      <c r="AJ34" s="81"/>
      <c r="AK34" s="75"/>
      <c r="AL34" s="75"/>
    </row>
    <row r="35" spans="1:38" ht="15.75" hidden="1" thickBot="1" x14ac:dyDescent="0.3">
      <c r="A35" s="75"/>
      <c r="B35" s="75"/>
      <c r="C35" s="35">
        <f>INDEX(Données!$F$2:$L$54,MATCH(F35,Données!$F$2:$F$54,0),2)</f>
        <v>43857</v>
      </c>
      <c r="D35" s="29" t="str">
        <f t="shared" si="0"/>
        <v>#2</v>
      </c>
      <c r="E35" s="7">
        <f>Données!J6</f>
        <v>43860</v>
      </c>
      <c r="F35" s="6" t="str">
        <f>INDEX(Données!$F$2:$L$54,MATCH('#2'!E35,Données!$G$2:$G$54,1),1)</f>
        <v>5</v>
      </c>
      <c r="G35" s="18" t="str">
        <f t="shared" si="1"/>
        <v>PS-2</v>
      </c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1"/>
      <c r="W35" s="75"/>
      <c r="X35" s="75"/>
      <c r="Y35" s="75"/>
      <c r="Z35" s="96">
        <f>SUM(Tableau14[[#This Row],[A-1]:[G-5]])</f>
        <v>0</v>
      </c>
      <c r="AA35" s="96" t="str">
        <f>IF(AND(Z35&gt;0,Tableau14[[#This Row],[CDS]]=""),"Oui","Non")</f>
        <v>Non</v>
      </c>
      <c r="AB35" s="75"/>
      <c r="AC35" s="75"/>
      <c r="AD35" s="75"/>
      <c r="AE35" s="75"/>
      <c r="AF35" s="75"/>
      <c r="AG35" s="75"/>
      <c r="AH35" s="75"/>
      <c r="AI35" s="75"/>
      <c r="AJ35" s="81"/>
      <c r="AK35" s="75"/>
      <c r="AL35" s="75"/>
    </row>
    <row r="36" spans="1:38" ht="15.75" hidden="1" thickBot="1" x14ac:dyDescent="0.3">
      <c r="A36" s="75"/>
      <c r="B36" s="75"/>
      <c r="C36" s="35">
        <f>INDEX(Données!$F$2:$L$54,MATCH(F36,Données!$F$2:$F$54,0),2)</f>
        <v>43857</v>
      </c>
      <c r="D36" s="29" t="str">
        <f t="shared" si="0"/>
        <v>#2</v>
      </c>
      <c r="E36" s="7">
        <f>Données!K6</f>
        <v>43861</v>
      </c>
      <c r="F36" s="6" t="str">
        <f>INDEX(Données!$F$2:$L$54,MATCH('#2'!E36,Données!$G$2:$G$54,1),1)</f>
        <v>5</v>
      </c>
      <c r="G36" s="18" t="str">
        <f t="shared" si="1"/>
        <v>PS-2</v>
      </c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1"/>
      <c r="W36" s="75"/>
      <c r="X36" s="75"/>
      <c r="Y36" s="75"/>
      <c r="Z36" s="96">
        <f>SUM(Tableau14[[#This Row],[A-1]:[G-5]])</f>
        <v>0</v>
      </c>
      <c r="AA36" s="96" t="str">
        <f>IF(AND(Z36&gt;0,Tableau14[[#This Row],[CDS]]=""),"Oui","Non")</f>
        <v>Non</v>
      </c>
      <c r="AB36" s="75"/>
      <c r="AC36" s="75"/>
      <c r="AD36" s="75"/>
      <c r="AE36" s="75"/>
      <c r="AF36" s="75"/>
      <c r="AG36" s="75"/>
      <c r="AH36" s="75"/>
      <c r="AI36" s="75"/>
      <c r="AJ36" s="81"/>
      <c r="AK36" s="75"/>
      <c r="AL36" s="75"/>
    </row>
    <row r="37" spans="1:38" ht="15.75" hidden="1" thickBot="1" x14ac:dyDescent="0.3">
      <c r="A37" s="75"/>
      <c r="B37" s="75"/>
      <c r="C37" s="35">
        <f>INDEX(Données!$F$2:$L$54,MATCH(F37,Données!$F$2:$F$54,0),2)</f>
        <v>43857</v>
      </c>
      <c r="D37" s="29" t="str">
        <f t="shared" si="0"/>
        <v>#2</v>
      </c>
      <c r="E37" s="7">
        <f>Données!L6</f>
        <v>43862</v>
      </c>
      <c r="F37" s="6" t="str">
        <f>INDEX(Données!$F$2:$L$54,MATCH('#2'!E37,Données!$G$2:$G$54,1),1)</f>
        <v>5</v>
      </c>
      <c r="G37" s="18" t="str">
        <f t="shared" si="1"/>
        <v>PS-2</v>
      </c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1"/>
      <c r="W37" s="75"/>
      <c r="X37" s="75"/>
      <c r="Y37" s="75"/>
      <c r="Z37" s="96">
        <f>SUM(Tableau14[[#This Row],[A-1]:[G-5]])</f>
        <v>0</v>
      </c>
      <c r="AA37" s="96" t="str">
        <f>IF(AND(Z37&gt;0,Tableau14[[#This Row],[CDS]]=""),"Oui","Non")</f>
        <v>Non</v>
      </c>
      <c r="AB37" s="75"/>
      <c r="AC37" s="75"/>
      <c r="AD37" s="75"/>
      <c r="AE37" s="75"/>
      <c r="AF37" s="75"/>
      <c r="AG37" s="75"/>
      <c r="AH37" s="75"/>
      <c r="AI37" s="75"/>
      <c r="AJ37" s="81"/>
      <c r="AK37" s="75"/>
      <c r="AL37" s="75"/>
    </row>
    <row r="38" spans="1:38" ht="15.75" hidden="1" thickBot="1" x14ac:dyDescent="0.3">
      <c r="A38" s="75"/>
      <c r="B38" s="75"/>
      <c r="C38" s="35">
        <f>INDEX(Données!$F$2:$L$54,MATCH(F38,Données!$F$2:$F$54,0),2)</f>
        <v>43864</v>
      </c>
      <c r="D38" s="29" t="str">
        <f t="shared" si="0"/>
        <v>#2</v>
      </c>
      <c r="E38" s="7">
        <f>Données!G7</f>
        <v>43864</v>
      </c>
      <c r="F38" s="6" t="str">
        <f>INDEX(Données!$F$2:$L$54,MATCH('#2'!E38,Données!$G$2:$G$54,1),1)</f>
        <v>6</v>
      </c>
      <c r="G38" s="18" t="str">
        <f t="shared" si="1"/>
        <v>PS-2</v>
      </c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1"/>
      <c r="W38" s="75"/>
      <c r="X38" s="75"/>
      <c r="Y38" s="75"/>
      <c r="Z38" s="96">
        <f>SUM(Tableau14[[#This Row],[A-1]:[G-5]])</f>
        <v>0</v>
      </c>
      <c r="AA38" s="96" t="str">
        <f>IF(AND(Z38&gt;0,Tableau14[[#This Row],[CDS]]=""),"Oui","Non")</f>
        <v>Non</v>
      </c>
      <c r="AB38" s="75"/>
      <c r="AC38" s="75"/>
      <c r="AD38" s="75"/>
      <c r="AE38" s="75"/>
      <c r="AF38" s="75"/>
      <c r="AG38" s="75"/>
      <c r="AH38" s="75"/>
      <c r="AI38" s="75"/>
      <c r="AJ38" s="81"/>
      <c r="AK38" s="75"/>
      <c r="AL38" s="75"/>
    </row>
    <row r="39" spans="1:38" ht="15.75" hidden="1" thickBot="1" x14ac:dyDescent="0.3">
      <c r="A39" s="75"/>
      <c r="B39" s="75"/>
      <c r="C39" s="35">
        <f>INDEX(Données!$F$2:$L$54,MATCH(F39,Données!$F$2:$F$54,0),2)</f>
        <v>43864</v>
      </c>
      <c r="D39" s="29" t="str">
        <f t="shared" si="0"/>
        <v>#2</v>
      </c>
      <c r="E39" s="7">
        <f>Données!H7</f>
        <v>43865</v>
      </c>
      <c r="F39" s="6" t="str">
        <f>INDEX(Données!$F$2:$L$54,MATCH('#2'!E39,Données!$G$2:$G$54,1),1)</f>
        <v>6</v>
      </c>
      <c r="G39" s="18" t="str">
        <f t="shared" si="1"/>
        <v>PS-2</v>
      </c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1"/>
      <c r="W39" s="75"/>
      <c r="X39" s="75"/>
      <c r="Y39" s="75"/>
      <c r="Z39" s="96">
        <f>SUM(Tableau14[[#This Row],[A-1]:[G-5]])</f>
        <v>0</v>
      </c>
      <c r="AA39" s="96" t="str">
        <f>IF(AND(Z39&gt;0,Tableau14[[#This Row],[CDS]]=""),"Oui","Non")</f>
        <v>Non</v>
      </c>
      <c r="AB39" s="75"/>
      <c r="AC39" s="75"/>
      <c r="AD39" s="75"/>
      <c r="AE39" s="75"/>
      <c r="AF39" s="75"/>
      <c r="AG39" s="75"/>
      <c r="AH39" s="75"/>
      <c r="AI39" s="75"/>
      <c r="AJ39" s="81"/>
      <c r="AK39" s="75"/>
      <c r="AL39" s="75"/>
    </row>
    <row r="40" spans="1:38" ht="15.75" hidden="1" thickBot="1" x14ac:dyDescent="0.3">
      <c r="A40" s="75"/>
      <c r="B40" s="75"/>
      <c r="C40" s="35">
        <f>INDEX(Données!$F$2:$L$54,MATCH(F40,Données!$F$2:$F$54,0),2)</f>
        <v>43864</v>
      </c>
      <c r="D40" s="29" t="str">
        <f t="shared" si="0"/>
        <v>#2</v>
      </c>
      <c r="E40" s="7">
        <f>Données!I7</f>
        <v>43866</v>
      </c>
      <c r="F40" s="6" t="str">
        <f>INDEX(Données!$F$2:$L$54,MATCH('#2'!E40,Données!$G$2:$G$54,1),1)</f>
        <v>6</v>
      </c>
      <c r="G40" s="18" t="str">
        <f t="shared" si="1"/>
        <v>PS-2</v>
      </c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1"/>
      <c r="W40" s="75"/>
      <c r="X40" s="75"/>
      <c r="Y40" s="75"/>
      <c r="Z40" s="96">
        <f>SUM(Tableau14[[#This Row],[A-1]:[G-5]])</f>
        <v>0</v>
      </c>
      <c r="AA40" s="96" t="str">
        <f>IF(AND(Z40&gt;0,Tableau14[[#This Row],[CDS]]=""),"Oui","Non")</f>
        <v>Non</v>
      </c>
      <c r="AB40" s="75"/>
      <c r="AC40" s="75"/>
      <c r="AD40" s="75"/>
      <c r="AE40" s="75"/>
      <c r="AF40" s="75"/>
      <c r="AG40" s="75"/>
      <c r="AH40" s="75"/>
      <c r="AI40" s="75"/>
      <c r="AJ40" s="81"/>
      <c r="AK40" s="75"/>
      <c r="AL40" s="75"/>
    </row>
    <row r="41" spans="1:38" ht="15.75" hidden="1" thickBot="1" x14ac:dyDescent="0.3">
      <c r="A41" s="75"/>
      <c r="B41" s="75"/>
      <c r="C41" s="35">
        <f>INDEX(Données!$F$2:$L$54,MATCH(F41,Données!$F$2:$F$54,0),2)</f>
        <v>43864</v>
      </c>
      <c r="D41" s="29" t="str">
        <f t="shared" si="0"/>
        <v>#2</v>
      </c>
      <c r="E41" s="7">
        <f>Données!J7</f>
        <v>43867</v>
      </c>
      <c r="F41" s="6" t="str">
        <f>INDEX(Données!$F$2:$L$54,MATCH('#2'!E41,Données!$G$2:$G$54,1),1)</f>
        <v>6</v>
      </c>
      <c r="G41" s="18" t="str">
        <f t="shared" si="1"/>
        <v>PS-2</v>
      </c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1"/>
      <c r="W41" s="75"/>
      <c r="X41" s="75"/>
      <c r="Y41" s="75"/>
      <c r="Z41" s="96">
        <f>SUM(Tableau14[[#This Row],[A-1]:[G-5]])</f>
        <v>0</v>
      </c>
      <c r="AA41" s="96" t="str">
        <f>IF(AND(Z41&gt;0,Tableau14[[#This Row],[CDS]]=""),"Oui","Non")</f>
        <v>Non</v>
      </c>
      <c r="AB41" s="75"/>
      <c r="AC41" s="75"/>
      <c r="AD41" s="75"/>
      <c r="AE41" s="75"/>
      <c r="AF41" s="75"/>
      <c r="AG41" s="75"/>
      <c r="AH41" s="75"/>
      <c r="AI41" s="75"/>
      <c r="AJ41" s="81"/>
      <c r="AK41" s="75"/>
      <c r="AL41" s="75"/>
    </row>
    <row r="42" spans="1:38" ht="15.75" hidden="1" thickBot="1" x14ac:dyDescent="0.3">
      <c r="A42" s="75"/>
      <c r="B42" s="75"/>
      <c r="C42" s="35">
        <f>INDEX(Données!$F$2:$L$54,MATCH(F42,Données!$F$2:$F$54,0),2)</f>
        <v>43864</v>
      </c>
      <c r="D42" s="29" t="str">
        <f t="shared" si="0"/>
        <v>#2</v>
      </c>
      <c r="E42" s="7">
        <f>Données!K7</f>
        <v>43868</v>
      </c>
      <c r="F42" s="6" t="str">
        <f>INDEX(Données!$F$2:$L$54,MATCH('#2'!E42,Données!$G$2:$G$54,1),1)</f>
        <v>6</v>
      </c>
      <c r="G42" s="18" t="str">
        <f t="shared" si="1"/>
        <v>PS-2</v>
      </c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1"/>
      <c r="W42" s="75"/>
      <c r="X42" s="75"/>
      <c r="Y42" s="75"/>
      <c r="Z42" s="96">
        <f>SUM(Tableau14[[#This Row],[A-1]:[G-5]])</f>
        <v>0</v>
      </c>
      <c r="AA42" s="96" t="str">
        <f>IF(AND(Z42&gt;0,Tableau14[[#This Row],[CDS]]=""),"Oui","Non")</f>
        <v>Non</v>
      </c>
      <c r="AB42" s="75"/>
      <c r="AC42" s="75"/>
      <c r="AD42" s="75"/>
      <c r="AE42" s="75"/>
      <c r="AF42" s="75"/>
      <c r="AG42" s="75"/>
      <c r="AH42" s="75"/>
      <c r="AI42" s="75"/>
      <c r="AJ42" s="81"/>
      <c r="AK42" s="75"/>
      <c r="AL42" s="75"/>
    </row>
    <row r="43" spans="1:38" ht="15.75" hidden="1" thickBot="1" x14ac:dyDescent="0.3">
      <c r="A43" s="75"/>
      <c r="B43" s="75"/>
      <c r="C43" s="35">
        <f>INDEX(Données!$F$2:$L$54,MATCH(F43,Données!$F$2:$F$54,0),2)</f>
        <v>43864</v>
      </c>
      <c r="D43" s="29" t="str">
        <f t="shared" si="0"/>
        <v>#2</v>
      </c>
      <c r="E43" s="7">
        <f>Données!L7</f>
        <v>43869</v>
      </c>
      <c r="F43" s="6" t="str">
        <f>INDEX(Données!$F$2:$L$54,MATCH('#2'!E43,Données!$G$2:$G$54,1),1)</f>
        <v>6</v>
      </c>
      <c r="G43" s="18" t="str">
        <f t="shared" si="1"/>
        <v>PS-2</v>
      </c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1"/>
      <c r="W43" s="75"/>
      <c r="X43" s="75"/>
      <c r="Y43" s="75"/>
      <c r="Z43" s="96">
        <f>SUM(Tableau14[[#This Row],[A-1]:[G-5]])</f>
        <v>0</v>
      </c>
      <c r="AA43" s="96" t="str">
        <f>IF(AND(Z43&gt;0,Tableau14[[#This Row],[CDS]]=""),"Oui","Non")</f>
        <v>Non</v>
      </c>
      <c r="AB43" s="75"/>
      <c r="AC43" s="75"/>
      <c r="AD43" s="75"/>
      <c r="AE43" s="75"/>
      <c r="AF43" s="75"/>
      <c r="AG43" s="75"/>
      <c r="AH43" s="75"/>
      <c r="AI43" s="75"/>
      <c r="AJ43" s="81"/>
      <c r="AK43" s="75"/>
      <c r="AL43" s="75"/>
    </row>
    <row r="44" spans="1:38" ht="15.75" hidden="1" thickBot="1" x14ac:dyDescent="0.3">
      <c r="A44" s="75"/>
      <c r="B44" s="75"/>
      <c r="C44" s="35">
        <f>INDEX(Données!$F$2:$L$54,MATCH(F44,Données!$F$2:$F$54,0),2)</f>
        <v>43871</v>
      </c>
      <c r="D44" s="29" t="str">
        <f t="shared" si="0"/>
        <v>#2</v>
      </c>
      <c r="E44" s="7">
        <f>Données!G8</f>
        <v>43871</v>
      </c>
      <c r="F44" s="6" t="str">
        <f>INDEX(Données!$F$2:$L$54,MATCH('#2'!E44,Données!$G$2:$G$54,1),1)</f>
        <v>7</v>
      </c>
      <c r="G44" s="18" t="str">
        <f t="shared" si="1"/>
        <v>PS-2</v>
      </c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1"/>
      <c r="W44" s="75"/>
      <c r="X44" s="75"/>
      <c r="Y44" s="75"/>
      <c r="Z44" s="96">
        <f>SUM(Tableau14[[#This Row],[A-1]:[G-5]])</f>
        <v>0</v>
      </c>
      <c r="AA44" s="96" t="str">
        <f>IF(AND(Z44&gt;0,Tableau14[[#This Row],[CDS]]=""),"Oui","Non")</f>
        <v>Non</v>
      </c>
      <c r="AB44" s="75"/>
      <c r="AC44" s="75"/>
      <c r="AD44" s="75"/>
      <c r="AE44" s="75"/>
      <c r="AF44" s="75"/>
      <c r="AG44" s="75"/>
      <c r="AH44" s="75"/>
      <c r="AI44" s="75"/>
      <c r="AJ44" s="81"/>
      <c r="AK44" s="75"/>
      <c r="AL44" s="75"/>
    </row>
    <row r="45" spans="1:38" ht="15.75" hidden="1" thickBot="1" x14ac:dyDescent="0.3">
      <c r="A45" s="75"/>
      <c r="B45" s="75"/>
      <c r="C45" s="35">
        <f>INDEX(Données!$F$2:$L$54,MATCH(F45,Données!$F$2:$F$54,0),2)</f>
        <v>43871</v>
      </c>
      <c r="D45" s="29" t="str">
        <f t="shared" si="0"/>
        <v>#2</v>
      </c>
      <c r="E45" s="7">
        <f>Données!H8</f>
        <v>43872</v>
      </c>
      <c r="F45" s="6" t="str">
        <f>INDEX(Données!$F$2:$L$54,MATCH('#2'!E45,Données!$G$2:$G$54,1),1)</f>
        <v>7</v>
      </c>
      <c r="G45" s="18" t="str">
        <f t="shared" si="1"/>
        <v>PS-2</v>
      </c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1"/>
      <c r="W45" s="75"/>
      <c r="X45" s="75"/>
      <c r="Y45" s="75"/>
      <c r="Z45" s="96">
        <f>SUM(Tableau14[[#This Row],[A-1]:[G-5]])</f>
        <v>0</v>
      </c>
      <c r="AA45" s="96" t="str">
        <f>IF(AND(Z45&gt;0,Tableau14[[#This Row],[CDS]]=""),"Oui","Non")</f>
        <v>Non</v>
      </c>
      <c r="AB45" s="75"/>
      <c r="AC45" s="75"/>
      <c r="AD45" s="75"/>
      <c r="AE45" s="75"/>
      <c r="AF45" s="75"/>
      <c r="AG45" s="75"/>
      <c r="AH45" s="75"/>
      <c r="AI45" s="75"/>
      <c r="AJ45" s="81"/>
      <c r="AK45" s="75"/>
      <c r="AL45" s="75"/>
    </row>
    <row r="46" spans="1:38" ht="15.75" hidden="1" thickBot="1" x14ac:dyDescent="0.3">
      <c r="A46" s="75"/>
      <c r="B46" s="75"/>
      <c r="C46" s="35">
        <f>INDEX(Données!$F$2:$L$54,MATCH(F46,Données!$F$2:$F$54,0),2)</f>
        <v>43871</v>
      </c>
      <c r="D46" s="29" t="str">
        <f t="shared" si="0"/>
        <v>#2</v>
      </c>
      <c r="E46" s="7">
        <f>Données!I8</f>
        <v>43873</v>
      </c>
      <c r="F46" s="6" t="str">
        <f>INDEX(Données!$F$2:$L$54,MATCH('#2'!E46,Données!$G$2:$G$54,1),1)</f>
        <v>7</v>
      </c>
      <c r="G46" s="18" t="str">
        <f t="shared" si="1"/>
        <v>PS-2</v>
      </c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1"/>
      <c r="W46" s="75"/>
      <c r="X46" s="75"/>
      <c r="Y46" s="75"/>
      <c r="Z46" s="96">
        <f>SUM(Tableau14[[#This Row],[A-1]:[G-5]])</f>
        <v>0</v>
      </c>
      <c r="AA46" s="96" t="str">
        <f>IF(AND(Z46&gt;0,Tableau14[[#This Row],[CDS]]=""),"Oui","Non")</f>
        <v>Non</v>
      </c>
      <c r="AB46" s="75"/>
      <c r="AC46" s="75"/>
      <c r="AD46" s="75"/>
      <c r="AE46" s="75"/>
      <c r="AF46" s="75"/>
      <c r="AG46" s="75"/>
      <c r="AH46" s="75"/>
      <c r="AI46" s="75"/>
      <c r="AJ46" s="81"/>
      <c r="AK46" s="75"/>
      <c r="AL46" s="75"/>
    </row>
    <row r="47" spans="1:38" ht="15.75" hidden="1" thickBot="1" x14ac:dyDescent="0.3">
      <c r="A47" s="75"/>
      <c r="B47" s="75"/>
      <c r="C47" s="35">
        <f>INDEX(Données!$F$2:$L$54,MATCH(F47,Données!$F$2:$F$54,0),2)</f>
        <v>43871</v>
      </c>
      <c r="D47" s="29" t="str">
        <f t="shared" si="0"/>
        <v>#2</v>
      </c>
      <c r="E47" s="7">
        <f>Données!J8</f>
        <v>43874</v>
      </c>
      <c r="F47" s="6" t="str">
        <f>INDEX(Données!$F$2:$L$54,MATCH('#2'!E47,Données!$G$2:$G$54,1),1)</f>
        <v>7</v>
      </c>
      <c r="G47" s="18" t="str">
        <f t="shared" si="1"/>
        <v>PS-2</v>
      </c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1"/>
      <c r="W47" s="75"/>
      <c r="X47" s="75"/>
      <c r="Y47" s="75"/>
      <c r="Z47" s="96">
        <f>SUM(Tableau14[[#This Row],[A-1]:[G-5]])</f>
        <v>0</v>
      </c>
      <c r="AA47" s="96" t="str">
        <f>IF(AND(Z47&gt;0,Tableau14[[#This Row],[CDS]]=""),"Oui","Non")</f>
        <v>Non</v>
      </c>
      <c r="AB47" s="75"/>
      <c r="AC47" s="75"/>
      <c r="AD47" s="75"/>
      <c r="AE47" s="75"/>
      <c r="AF47" s="75"/>
      <c r="AG47" s="75"/>
      <c r="AH47" s="75"/>
      <c r="AI47" s="75"/>
      <c r="AJ47" s="81"/>
      <c r="AK47" s="75"/>
      <c r="AL47" s="75"/>
    </row>
    <row r="48" spans="1:38" ht="15.75" hidden="1" thickBot="1" x14ac:dyDescent="0.3">
      <c r="A48" s="75"/>
      <c r="B48" s="75"/>
      <c r="C48" s="35">
        <f>INDEX(Données!$F$2:$L$54,MATCH(F48,Données!$F$2:$F$54,0),2)</f>
        <v>43871</v>
      </c>
      <c r="D48" s="29" t="str">
        <f t="shared" si="0"/>
        <v>#2</v>
      </c>
      <c r="E48" s="7">
        <f>Données!K8</f>
        <v>43875</v>
      </c>
      <c r="F48" s="6" t="str">
        <f>INDEX(Données!$F$2:$L$54,MATCH('#2'!E48,Données!$G$2:$G$54,1),1)</f>
        <v>7</v>
      </c>
      <c r="G48" s="18" t="str">
        <f t="shared" si="1"/>
        <v>PS-2</v>
      </c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1"/>
      <c r="W48" s="75"/>
      <c r="X48" s="75"/>
      <c r="Y48" s="75"/>
      <c r="Z48" s="96">
        <f>SUM(Tableau14[[#This Row],[A-1]:[G-5]])</f>
        <v>0</v>
      </c>
      <c r="AA48" s="96" t="str">
        <f>IF(AND(Z48&gt;0,Tableau14[[#This Row],[CDS]]=""),"Oui","Non")</f>
        <v>Non</v>
      </c>
      <c r="AB48" s="75"/>
      <c r="AC48" s="75"/>
      <c r="AD48" s="75"/>
      <c r="AE48" s="75"/>
      <c r="AF48" s="75"/>
      <c r="AG48" s="75"/>
      <c r="AH48" s="75"/>
      <c r="AI48" s="75"/>
      <c r="AJ48" s="81"/>
      <c r="AK48" s="75"/>
      <c r="AL48" s="75"/>
    </row>
    <row r="49" spans="1:38" ht="15.75" hidden="1" thickBot="1" x14ac:dyDescent="0.3">
      <c r="A49" s="75"/>
      <c r="B49" s="75"/>
      <c r="C49" s="35">
        <f>INDEX(Données!$F$2:$L$54,MATCH(F49,Données!$F$2:$F$54,0),2)</f>
        <v>43871</v>
      </c>
      <c r="D49" s="29" t="str">
        <f t="shared" si="0"/>
        <v>#2</v>
      </c>
      <c r="E49" s="7">
        <f>Données!L8</f>
        <v>43876</v>
      </c>
      <c r="F49" s="6" t="str">
        <f>INDEX(Données!$F$2:$L$54,MATCH('#2'!E49,Données!$G$2:$G$54,1),1)</f>
        <v>7</v>
      </c>
      <c r="G49" s="18" t="str">
        <f t="shared" si="1"/>
        <v>PS-2</v>
      </c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1"/>
      <c r="W49" s="75"/>
      <c r="X49" s="75"/>
      <c r="Y49" s="75"/>
      <c r="Z49" s="96">
        <f>SUM(Tableau14[[#This Row],[A-1]:[G-5]])</f>
        <v>0</v>
      </c>
      <c r="AA49" s="96" t="str">
        <f>IF(AND(Z49&gt;0,Tableau14[[#This Row],[CDS]]=""),"Oui","Non")</f>
        <v>Non</v>
      </c>
      <c r="AB49" s="75"/>
      <c r="AC49" s="75"/>
      <c r="AD49" s="75"/>
      <c r="AE49" s="75"/>
      <c r="AF49" s="75"/>
      <c r="AG49" s="75"/>
      <c r="AH49" s="75"/>
      <c r="AI49" s="75"/>
      <c r="AJ49" s="81"/>
      <c r="AK49" s="75"/>
      <c r="AL49" s="75"/>
    </row>
    <row r="50" spans="1:38" ht="15.75" hidden="1" thickBot="1" x14ac:dyDescent="0.3">
      <c r="A50" s="75"/>
      <c r="B50" s="75"/>
      <c r="C50" s="35">
        <f>INDEX(Données!$F$2:$L$54,MATCH(F50,Données!$F$2:$F$54,0),2)</f>
        <v>43878</v>
      </c>
      <c r="D50" s="29" t="str">
        <f t="shared" si="0"/>
        <v>#2</v>
      </c>
      <c r="E50" s="7">
        <f>Données!G9</f>
        <v>43878</v>
      </c>
      <c r="F50" s="6" t="str">
        <f>INDEX(Données!$F$2:$L$54,MATCH('#2'!E50,Données!$G$2:$G$54,1),1)</f>
        <v>8</v>
      </c>
      <c r="G50" s="18" t="str">
        <f t="shared" si="1"/>
        <v>PS-2</v>
      </c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1"/>
      <c r="W50" s="75"/>
      <c r="X50" s="75"/>
      <c r="Y50" s="75"/>
      <c r="Z50" s="96">
        <f>SUM(Tableau14[[#This Row],[A-1]:[G-5]])</f>
        <v>0</v>
      </c>
      <c r="AA50" s="96" t="str">
        <f>IF(AND(Z50&gt;0,Tableau14[[#This Row],[CDS]]=""),"Oui","Non")</f>
        <v>Non</v>
      </c>
      <c r="AB50" s="75"/>
      <c r="AC50" s="75"/>
      <c r="AD50" s="75"/>
      <c r="AE50" s="75"/>
      <c r="AF50" s="75"/>
      <c r="AG50" s="75"/>
      <c r="AH50" s="75"/>
      <c r="AI50" s="75"/>
      <c r="AJ50" s="81"/>
      <c r="AK50" s="75"/>
      <c r="AL50" s="75"/>
    </row>
    <row r="51" spans="1:38" ht="15.75" hidden="1" thickBot="1" x14ac:dyDescent="0.3">
      <c r="A51" s="75"/>
      <c r="B51" s="75"/>
      <c r="C51" s="35">
        <f>INDEX(Données!$F$2:$L$54,MATCH(F51,Données!$F$2:$F$54,0),2)</f>
        <v>43878</v>
      </c>
      <c r="D51" s="29" t="str">
        <f t="shared" si="0"/>
        <v>#2</v>
      </c>
      <c r="E51" s="7">
        <f>Données!H9</f>
        <v>43879</v>
      </c>
      <c r="F51" s="6" t="str">
        <f>INDEX(Données!$F$2:$L$54,MATCH('#2'!E51,Données!$G$2:$G$54,1),1)</f>
        <v>8</v>
      </c>
      <c r="G51" s="18" t="str">
        <f t="shared" si="1"/>
        <v>PS-2</v>
      </c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1"/>
      <c r="W51" s="75"/>
      <c r="X51" s="75"/>
      <c r="Y51" s="75"/>
      <c r="Z51" s="96">
        <f>SUM(Tableau14[[#This Row],[A-1]:[G-5]])</f>
        <v>0</v>
      </c>
      <c r="AA51" s="96" t="str">
        <f>IF(AND(Z51&gt;0,Tableau14[[#This Row],[CDS]]=""),"Oui","Non")</f>
        <v>Non</v>
      </c>
      <c r="AB51" s="75"/>
      <c r="AC51" s="75"/>
      <c r="AD51" s="75"/>
      <c r="AE51" s="75"/>
      <c r="AF51" s="75"/>
      <c r="AG51" s="75"/>
      <c r="AH51" s="75"/>
      <c r="AI51" s="75"/>
      <c r="AJ51" s="81"/>
      <c r="AK51" s="75"/>
      <c r="AL51" s="75"/>
    </row>
    <row r="52" spans="1:38" ht="15.75" hidden="1" thickBot="1" x14ac:dyDescent="0.3">
      <c r="A52" s="75"/>
      <c r="B52" s="75"/>
      <c r="C52" s="35">
        <f>INDEX(Données!$F$2:$L$54,MATCH(F52,Données!$F$2:$F$54,0),2)</f>
        <v>43878</v>
      </c>
      <c r="D52" s="29" t="str">
        <f t="shared" si="0"/>
        <v>#2</v>
      </c>
      <c r="E52" s="7">
        <f>Données!I9</f>
        <v>43880</v>
      </c>
      <c r="F52" s="6" t="str">
        <f>INDEX(Données!$F$2:$L$54,MATCH('#2'!E52,Données!$G$2:$G$54,1),1)</f>
        <v>8</v>
      </c>
      <c r="G52" s="18" t="str">
        <f t="shared" si="1"/>
        <v>PS-2</v>
      </c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1"/>
      <c r="W52" s="75"/>
      <c r="X52" s="75"/>
      <c r="Y52" s="75"/>
      <c r="Z52" s="96">
        <f>SUM(Tableau14[[#This Row],[A-1]:[G-5]])</f>
        <v>0</v>
      </c>
      <c r="AA52" s="96" t="str">
        <f>IF(AND(Z52&gt;0,Tableau14[[#This Row],[CDS]]=""),"Oui","Non")</f>
        <v>Non</v>
      </c>
      <c r="AB52" s="75"/>
      <c r="AC52" s="75"/>
      <c r="AD52" s="75"/>
      <c r="AE52" s="75"/>
      <c r="AF52" s="75"/>
      <c r="AG52" s="75"/>
      <c r="AH52" s="75"/>
      <c r="AI52" s="75"/>
      <c r="AJ52" s="81"/>
      <c r="AK52" s="75"/>
      <c r="AL52" s="75"/>
    </row>
    <row r="53" spans="1:38" ht="15.75" hidden="1" thickBot="1" x14ac:dyDescent="0.3">
      <c r="A53" s="75"/>
      <c r="B53" s="75"/>
      <c r="C53" s="35">
        <f>INDEX(Données!$F$2:$L$54,MATCH(F53,Données!$F$2:$F$54,0),2)</f>
        <v>43878</v>
      </c>
      <c r="D53" s="29" t="str">
        <f t="shared" si="0"/>
        <v>#2</v>
      </c>
      <c r="E53" s="7">
        <f>Données!J9</f>
        <v>43881</v>
      </c>
      <c r="F53" s="6" t="str">
        <f>INDEX(Données!$F$2:$L$54,MATCH('#2'!E53,Données!$G$2:$G$54,1),1)</f>
        <v>8</v>
      </c>
      <c r="G53" s="18" t="str">
        <f t="shared" si="1"/>
        <v>PS-2</v>
      </c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1"/>
      <c r="W53" s="75"/>
      <c r="X53" s="75"/>
      <c r="Y53" s="75"/>
      <c r="Z53" s="96">
        <f>SUM(Tableau14[[#This Row],[A-1]:[G-5]])</f>
        <v>0</v>
      </c>
      <c r="AA53" s="96" t="str">
        <f>IF(AND(Z53&gt;0,Tableau14[[#This Row],[CDS]]=""),"Oui","Non")</f>
        <v>Non</v>
      </c>
      <c r="AB53" s="75"/>
      <c r="AC53" s="75"/>
      <c r="AD53" s="75"/>
      <c r="AE53" s="75"/>
      <c r="AF53" s="75"/>
      <c r="AG53" s="75"/>
      <c r="AH53" s="75"/>
      <c r="AI53" s="75"/>
      <c r="AJ53" s="81"/>
      <c r="AK53" s="75"/>
      <c r="AL53" s="75"/>
    </row>
    <row r="54" spans="1:38" ht="15.75" hidden="1" thickBot="1" x14ac:dyDescent="0.3">
      <c r="A54" s="75"/>
      <c r="B54" s="75"/>
      <c r="C54" s="35">
        <f>INDEX(Données!$F$2:$L$54,MATCH(F54,Données!$F$2:$F$54,0),2)</f>
        <v>43878</v>
      </c>
      <c r="D54" s="29" t="str">
        <f t="shared" si="0"/>
        <v>#2</v>
      </c>
      <c r="E54" s="7">
        <f>Données!K9</f>
        <v>43882</v>
      </c>
      <c r="F54" s="6" t="str">
        <f>INDEX(Données!$F$2:$L$54,MATCH('#2'!E54,Données!$G$2:$G$54,1),1)</f>
        <v>8</v>
      </c>
      <c r="G54" s="18" t="str">
        <f t="shared" si="1"/>
        <v>PS-2</v>
      </c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1"/>
      <c r="W54" s="75"/>
      <c r="X54" s="75"/>
      <c r="Y54" s="75"/>
      <c r="Z54" s="96">
        <f>SUM(Tableau14[[#This Row],[A-1]:[G-5]])</f>
        <v>0</v>
      </c>
      <c r="AA54" s="96" t="str">
        <f>IF(AND(Z54&gt;0,Tableau14[[#This Row],[CDS]]=""),"Oui","Non")</f>
        <v>Non</v>
      </c>
      <c r="AB54" s="75"/>
      <c r="AC54" s="75"/>
      <c r="AD54" s="75"/>
      <c r="AE54" s="75"/>
      <c r="AF54" s="75"/>
      <c r="AG54" s="75"/>
      <c r="AH54" s="75"/>
      <c r="AI54" s="75"/>
      <c r="AJ54" s="81"/>
      <c r="AK54" s="75"/>
      <c r="AL54" s="75"/>
    </row>
    <row r="55" spans="1:38" ht="15.75" hidden="1" thickBot="1" x14ac:dyDescent="0.3">
      <c r="A55" s="75"/>
      <c r="B55" s="75"/>
      <c r="C55" s="35">
        <f>INDEX(Données!$F$2:$L$54,MATCH(F55,Données!$F$2:$F$54,0),2)</f>
        <v>43878</v>
      </c>
      <c r="D55" s="29" t="str">
        <f t="shared" si="0"/>
        <v>#2</v>
      </c>
      <c r="E55" s="7">
        <f>Données!L9</f>
        <v>43883</v>
      </c>
      <c r="F55" s="6" t="str">
        <f>INDEX(Données!$F$2:$L$54,MATCH('#2'!E55,Données!$G$2:$G$54,1),1)</f>
        <v>8</v>
      </c>
      <c r="G55" s="18" t="str">
        <f t="shared" si="1"/>
        <v>PS-2</v>
      </c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1"/>
      <c r="W55" s="75"/>
      <c r="X55" s="75"/>
      <c r="Y55" s="75"/>
      <c r="Z55" s="96">
        <f>SUM(Tableau14[[#This Row],[A-1]:[G-5]])</f>
        <v>0</v>
      </c>
      <c r="AA55" s="96" t="str">
        <f>IF(AND(Z55&gt;0,Tableau14[[#This Row],[CDS]]=""),"Oui","Non")</f>
        <v>Non</v>
      </c>
      <c r="AB55" s="75"/>
      <c r="AC55" s="75"/>
      <c r="AD55" s="75"/>
      <c r="AE55" s="75"/>
      <c r="AF55" s="75"/>
      <c r="AG55" s="75"/>
      <c r="AH55" s="75"/>
      <c r="AI55" s="75"/>
      <c r="AJ55" s="81"/>
      <c r="AK55" s="75"/>
      <c r="AL55" s="75"/>
    </row>
    <row r="56" spans="1:38" ht="15.75" hidden="1" thickBot="1" x14ac:dyDescent="0.3">
      <c r="A56" s="75"/>
      <c r="B56" s="75"/>
      <c r="C56" s="35">
        <f>INDEX(Données!$F$2:$L$54,MATCH(F56,Données!$F$2:$F$54,0),2)</f>
        <v>43885</v>
      </c>
      <c r="D56" s="29" t="str">
        <f t="shared" si="0"/>
        <v>#2</v>
      </c>
      <c r="E56" s="7">
        <f>Données!G10</f>
        <v>43885</v>
      </c>
      <c r="F56" s="6" t="str">
        <f>INDEX(Données!$F$2:$L$54,MATCH('#2'!E56,Données!$G$2:$G$54,1),1)</f>
        <v>9</v>
      </c>
      <c r="G56" s="18" t="str">
        <f t="shared" si="1"/>
        <v>PS-2</v>
      </c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1"/>
      <c r="W56" s="75"/>
      <c r="X56" s="75"/>
      <c r="Y56" s="75"/>
      <c r="Z56" s="96">
        <f>SUM(Tableau14[[#This Row],[A-1]:[G-5]])</f>
        <v>0</v>
      </c>
      <c r="AA56" s="96" t="str">
        <f>IF(AND(Z56&gt;0,Tableau14[[#This Row],[CDS]]=""),"Oui","Non")</f>
        <v>Non</v>
      </c>
      <c r="AB56" s="75"/>
      <c r="AC56" s="75"/>
      <c r="AD56" s="75"/>
      <c r="AE56" s="75"/>
      <c r="AF56" s="75"/>
      <c r="AG56" s="75"/>
      <c r="AH56" s="75"/>
      <c r="AI56" s="75"/>
      <c r="AJ56" s="81"/>
      <c r="AK56" s="75"/>
      <c r="AL56" s="75"/>
    </row>
    <row r="57" spans="1:38" ht="15.75" hidden="1" thickBot="1" x14ac:dyDescent="0.3">
      <c r="A57" s="75"/>
      <c r="B57" s="75"/>
      <c r="C57" s="35">
        <f>INDEX(Données!$F$2:$L$54,MATCH(F57,Données!$F$2:$F$54,0),2)</f>
        <v>43885</v>
      </c>
      <c r="D57" s="29" t="str">
        <f t="shared" si="0"/>
        <v>#2</v>
      </c>
      <c r="E57" s="7">
        <f>Données!H10</f>
        <v>43886</v>
      </c>
      <c r="F57" s="6" t="str">
        <f>INDEX(Données!$F$2:$L$54,MATCH('#2'!E57,Données!$G$2:$G$54,1),1)</f>
        <v>9</v>
      </c>
      <c r="G57" s="18" t="str">
        <f t="shared" si="1"/>
        <v>PS-2</v>
      </c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1"/>
      <c r="W57" s="75"/>
      <c r="X57" s="75"/>
      <c r="Y57" s="75"/>
      <c r="Z57" s="96">
        <f>SUM(Tableau14[[#This Row],[A-1]:[G-5]])</f>
        <v>0</v>
      </c>
      <c r="AA57" s="96" t="str">
        <f>IF(AND(Z57&gt;0,Tableau14[[#This Row],[CDS]]=""),"Oui","Non")</f>
        <v>Non</v>
      </c>
      <c r="AB57" s="75"/>
      <c r="AC57" s="75"/>
      <c r="AD57" s="75"/>
      <c r="AE57" s="75"/>
      <c r="AF57" s="75"/>
      <c r="AG57" s="75"/>
      <c r="AH57" s="75"/>
      <c r="AI57" s="75"/>
      <c r="AJ57" s="81"/>
      <c r="AK57" s="75"/>
      <c r="AL57" s="75"/>
    </row>
    <row r="58" spans="1:38" ht="15.75" hidden="1" thickBot="1" x14ac:dyDescent="0.3">
      <c r="A58" s="75"/>
      <c r="B58" s="75"/>
      <c r="C58" s="35">
        <f>INDEX(Données!$F$2:$L$54,MATCH(F58,Données!$F$2:$F$54,0),2)</f>
        <v>43885</v>
      </c>
      <c r="D58" s="29" t="str">
        <f t="shared" si="0"/>
        <v>#2</v>
      </c>
      <c r="E58" s="7">
        <f>Données!I10</f>
        <v>43887</v>
      </c>
      <c r="F58" s="6" t="str">
        <f>INDEX(Données!$F$2:$L$54,MATCH('#2'!E58,Données!$G$2:$G$54,1),1)</f>
        <v>9</v>
      </c>
      <c r="G58" s="18" t="str">
        <f t="shared" si="1"/>
        <v>PS-2</v>
      </c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1"/>
      <c r="W58" s="75"/>
      <c r="X58" s="75"/>
      <c r="Y58" s="75"/>
      <c r="Z58" s="96">
        <f>SUM(Tableau14[[#This Row],[A-1]:[G-5]])</f>
        <v>0</v>
      </c>
      <c r="AA58" s="96" t="str">
        <f>IF(AND(Z58&gt;0,Tableau14[[#This Row],[CDS]]=""),"Oui","Non")</f>
        <v>Non</v>
      </c>
      <c r="AB58" s="75"/>
      <c r="AC58" s="75"/>
      <c r="AD58" s="75"/>
      <c r="AE58" s="75"/>
      <c r="AF58" s="75"/>
      <c r="AG58" s="75"/>
      <c r="AH58" s="75"/>
      <c r="AI58" s="75"/>
      <c r="AJ58" s="81"/>
      <c r="AK58" s="75"/>
      <c r="AL58" s="75"/>
    </row>
    <row r="59" spans="1:38" ht="15.75" hidden="1" thickBot="1" x14ac:dyDescent="0.3">
      <c r="A59" s="75"/>
      <c r="B59" s="75"/>
      <c r="C59" s="35">
        <f>INDEX(Données!$F$2:$L$54,MATCH(F59,Données!$F$2:$F$54,0),2)</f>
        <v>43885</v>
      </c>
      <c r="D59" s="29" t="str">
        <f t="shared" si="0"/>
        <v>#2</v>
      </c>
      <c r="E59" s="7">
        <f>Données!J10</f>
        <v>43888</v>
      </c>
      <c r="F59" s="6" t="str">
        <f>INDEX(Données!$F$2:$L$54,MATCH('#2'!E59,Données!$G$2:$G$54,1),1)</f>
        <v>9</v>
      </c>
      <c r="G59" s="18" t="str">
        <f t="shared" si="1"/>
        <v>PS-2</v>
      </c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1"/>
      <c r="W59" s="75"/>
      <c r="X59" s="75"/>
      <c r="Y59" s="75"/>
      <c r="Z59" s="96">
        <f>SUM(Tableau14[[#This Row],[A-1]:[G-5]])</f>
        <v>0</v>
      </c>
      <c r="AA59" s="96" t="str">
        <f>IF(AND(Z59&gt;0,Tableau14[[#This Row],[CDS]]=""),"Oui","Non")</f>
        <v>Non</v>
      </c>
      <c r="AB59" s="75"/>
      <c r="AC59" s="75"/>
      <c r="AD59" s="75"/>
      <c r="AE59" s="75"/>
      <c r="AF59" s="75"/>
      <c r="AG59" s="75"/>
      <c r="AH59" s="75"/>
      <c r="AI59" s="75"/>
      <c r="AJ59" s="81"/>
      <c r="AK59" s="75"/>
      <c r="AL59" s="75"/>
    </row>
    <row r="60" spans="1:38" ht="15.75" hidden="1" thickBot="1" x14ac:dyDescent="0.3">
      <c r="A60" s="75"/>
      <c r="B60" s="75"/>
      <c r="C60" s="35">
        <f>INDEX(Données!$F$2:$L$54,MATCH(F60,Données!$F$2:$F$54,0),2)</f>
        <v>43885</v>
      </c>
      <c r="D60" s="29" t="str">
        <f t="shared" si="0"/>
        <v>#2</v>
      </c>
      <c r="E60" s="7">
        <f>Données!K10</f>
        <v>43889</v>
      </c>
      <c r="F60" s="6" t="str">
        <f>INDEX(Données!$F$2:$L$54,MATCH('#2'!E60,Données!$G$2:$G$54,1),1)</f>
        <v>9</v>
      </c>
      <c r="G60" s="18" t="str">
        <f t="shared" si="1"/>
        <v>PS-2</v>
      </c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1"/>
      <c r="W60" s="75"/>
      <c r="X60" s="75"/>
      <c r="Y60" s="75"/>
      <c r="Z60" s="96">
        <f>SUM(Tableau14[[#This Row],[A-1]:[G-5]])</f>
        <v>0</v>
      </c>
      <c r="AA60" s="96" t="str">
        <f>IF(AND(Z60&gt;0,Tableau14[[#This Row],[CDS]]=""),"Oui","Non")</f>
        <v>Non</v>
      </c>
      <c r="AB60" s="75"/>
      <c r="AC60" s="75"/>
      <c r="AD60" s="75"/>
      <c r="AE60" s="75"/>
      <c r="AF60" s="75"/>
      <c r="AG60" s="75"/>
      <c r="AH60" s="75"/>
      <c r="AI60" s="75"/>
      <c r="AJ60" s="81"/>
      <c r="AK60" s="75"/>
      <c r="AL60" s="75"/>
    </row>
    <row r="61" spans="1:38" ht="15.75" hidden="1" thickBot="1" x14ac:dyDescent="0.3">
      <c r="A61" s="75"/>
      <c r="B61" s="75"/>
      <c r="C61" s="35">
        <f>INDEX(Données!$F$2:$L$54,MATCH(F61,Données!$F$2:$F$54,0),2)</f>
        <v>43885</v>
      </c>
      <c r="D61" s="29" t="str">
        <f t="shared" si="0"/>
        <v>#2</v>
      </c>
      <c r="E61" s="7">
        <f>Données!L10</f>
        <v>43890</v>
      </c>
      <c r="F61" s="6" t="str">
        <f>INDEX(Données!$F$2:$L$54,MATCH('#2'!E61,Données!$G$2:$G$54,1),1)</f>
        <v>9</v>
      </c>
      <c r="G61" s="18" t="str">
        <f t="shared" si="1"/>
        <v>PS-2</v>
      </c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1"/>
      <c r="W61" s="75"/>
      <c r="X61" s="75"/>
      <c r="Y61" s="75"/>
      <c r="Z61" s="96">
        <f>SUM(Tableau14[[#This Row],[A-1]:[G-5]])</f>
        <v>0</v>
      </c>
      <c r="AA61" s="96" t="str">
        <f>IF(AND(Z61&gt;0,Tableau14[[#This Row],[CDS]]=""),"Oui","Non")</f>
        <v>Non</v>
      </c>
      <c r="AB61" s="75"/>
      <c r="AC61" s="75"/>
      <c r="AD61" s="75"/>
      <c r="AE61" s="75"/>
      <c r="AF61" s="75"/>
      <c r="AG61" s="75"/>
      <c r="AH61" s="75"/>
      <c r="AI61" s="75"/>
      <c r="AJ61" s="81"/>
      <c r="AK61" s="75"/>
      <c r="AL61" s="75"/>
    </row>
    <row r="62" spans="1:38" ht="15.75" hidden="1" thickBot="1" x14ac:dyDescent="0.3">
      <c r="A62" s="75"/>
      <c r="B62" s="75"/>
      <c r="C62" s="35">
        <f>INDEX(Données!$F$2:$L$54,MATCH(F62,Données!$F$2:$F$54,0),2)</f>
        <v>43892</v>
      </c>
      <c r="D62" s="29" t="str">
        <f t="shared" si="0"/>
        <v>#2</v>
      </c>
      <c r="E62" s="7">
        <f>Données!G11</f>
        <v>43892</v>
      </c>
      <c r="F62" s="6" t="str">
        <f>INDEX(Données!$F$2:$L$54,MATCH('#2'!E62,Données!$G$2:$G$54,1),1)</f>
        <v>10</v>
      </c>
      <c r="G62" s="18" t="str">
        <f t="shared" si="1"/>
        <v>PS-2</v>
      </c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1"/>
      <c r="W62" s="75"/>
      <c r="X62" s="75"/>
      <c r="Y62" s="75"/>
      <c r="Z62" s="96">
        <f>SUM(Tableau14[[#This Row],[A-1]:[G-5]])</f>
        <v>0</v>
      </c>
      <c r="AA62" s="96" t="str">
        <f>IF(AND(Z62&gt;0,Tableau14[[#This Row],[CDS]]=""),"Oui","Non")</f>
        <v>Non</v>
      </c>
      <c r="AB62" s="75"/>
      <c r="AC62" s="75"/>
      <c r="AD62" s="75"/>
      <c r="AE62" s="75"/>
      <c r="AF62" s="75"/>
      <c r="AG62" s="75"/>
      <c r="AH62" s="75"/>
      <c r="AI62" s="75"/>
      <c r="AJ62" s="81"/>
      <c r="AK62" s="75"/>
      <c r="AL62" s="75"/>
    </row>
    <row r="63" spans="1:38" ht="15.75" hidden="1" thickBot="1" x14ac:dyDescent="0.3">
      <c r="A63" s="75"/>
      <c r="B63" s="75"/>
      <c r="C63" s="35">
        <f>INDEX(Données!$F$2:$L$54,MATCH(F63,Données!$F$2:$F$54,0),2)</f>
        <v>43892</v>
      </c>
      <c r="D63" s="29" t="str">
        <f t="shared" si="0"/>
        <v>#2</v>
      </c>
      <c r="E63" s="7">
        <f>Données!H11</f>
        <v>43893</v>
      </c>
      <c r="F63" s="6" t="str">
        <f>INDEX(Données!$F$2:$L$54,MATCH('#2'!E63,Données!$G$2:$G$54,1),1)</f>
        <v>10</v>
      </c>
      <c r="G63" s="18" t="str">
        <f t="shared" si="1"/>
        <v>PS-2</v>
      </c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1"/>
      <c r="W63" s="75"/>
      <c r="X63" s="75"/>
      <c r="Y63" s="75"/>
      <c r="Z63" s="96">
        <f>SUM(Tableau14[[#This Row],[A-1]:[G-5]])</f>
        <v>0</v>
      </c>
      <c r="AA63" s="96" t="str">
        <f>IF(AND(Z63&gt;0,Tableau14[[#This Row],[CDS]]=""),"Oui","Non")</f>
        <v>Non</v>
      </c>
      <c r="AB63" s="75"/>
      <c r="AC63" s="75"/>
      <c r="AD63" s="75"/>
      <c r="AE63" s="75"/>
      <c r="AF63" s="75"/>
      <c r="AG63" s="75"/>
      <c r="AH63" s="75"/>
      <c r="AI63" s="75"/>
      <c r="AJ63" s="81"/>
      <c r="AK63" s="75"/>
      <c r="AL63" s="75"/>
    </row>
    <row r="64" spans="1:38" ht="15.75" hidden="1" thickBot="1" x14ac:dyDescent="0.3">
      <c r="A64" s="75"/>
      <c r="B64" s="75"/>
      <c r="C64" s="35">
        <f>INDEX(Données!$F$2:$L$54,MATCH(F64,Données!$F$2:$F$54,0),2)</f>
        <v>43892</v>
      </c>
      <c r="D64" s="29" t="str">
        <f t="shared" si="0"/>
        <v>#2</v>
      </c>
      <c r="E64" s="7">
        <f>Données!I11</f>
        <v>43894</v>
      </c>
      <c r="F64" s="6" t="str">
        <f>INDEX(Données!$F$2:$L$54,MATCH('#2'!E64,Données!$G$2:$G$54,1),1)</f>
        <v>10</v>
      </c>
      <c r="G64" s="18" t="str">
        <f t="shared" si="1"/>
        <v>PS-2</v>
      </c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1"/>
      <c r="W64" s="75"/>
      <c r="X64" s="75"/>
      <c r="Y64" s="75"/>
      <c r="Z64" s="96">
        <f>SUM(Tableau14[[#This Row],[A-1]:[G-5]])</f>
        <v>0</v>
      </c>
      <c r="AA64" s="96" t="str">
        <f>IF(AND(Z64&gt;0,Tableau14[[#This Row],[CDS]]=""),"Oui","Non")</f>
        <v>Non</v>
      </c>
      <c r="AB64" s="75"/>
      <c r="AC64" s="75"/>
      <c r="AD64" s="75"/>
      <c r="AE64" s="75"/>
      <c r="AF64" s="75"/>
      <c r="AG64" s="75"/>
      <c r="AH64" s="75"/>
      <c r="AI64" s="75"/>
      <c r="AJ64" s="81"/>
      <c r="AK64" s="75"/>
      <c r="AL64" s="75"/>
    </row>
    <row r="65" spans="1:38" ht="15.75" hidden="1" thickBot="1" x14ac:dyDescent="0.3">
      <c r="A65" s="75"/>
      <c r="B65" s="75"/>
      <c r="C65" s="35">
        <f>INDEX(Données!$F$2:$L$54,MATCH(F65,Données!$F$2:$F$54,0),2)</f>
        <v>43892</v>
      </c>
      <c r="D65" s="29" t="str">
        <f t="shared" si="0"/>
        <v>#2</v>
      </c>
      <c r="E65" s="7">
        <f>Données!J11</f>
        <v>43895</v>
      </c>
      <c r="F65" s="6" t="str">
        <f>INDEX(Données!$F$2:$L$54,MATCH('#2'!E65,Données!$G$2:$G$54,1),1)</f>
        <v>10</v>
      </c>
      <c r="G65" s="18" t="str">
        <f t="shared" si="1"/>
        <v>PS-2</v>
      </c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1"/>
      <c r="W65" s="75"/>
      <c r="X65" s="75"/>
      <c r="Y65" s="75"/>
      <c r="Z65" s="96">
        <f>SUM(Tableau14[[#This Row],[A-1]:[G-5]])</f>
        <v>0</v>
      </c>
      <c r="AA65" s="96" t="str">
        <f>IF(AND(Z65&gt;0,Tableau14[[#This Row],[CDS]]=""),"Oui","Non")</f>
        <v>Non</v>
      </c>
      <c r="AB65" s="75"/>
      <c r="AC65" s="75"/>
      <c r="AD65" s="75"/>
      <c r="AE65" s="75"/>
      <c r="AF65" s="75"/>
      <c r="AG65" s="75"/>
      <c r="AH65" s="75"/>
      <c r="AI65" s="75"/>
      <c r="AJ65" s="81"/>
      <c r="AK65" s="75"/>
      <c r="AL65" s="75"/>
    </row>
    <row r="66" spans="1:38" ht="15.75" hidden="1" thickBot="1" x14ac:dyDescent="0.3">
      <c r="A66" s="75"/>
      <c r="B66" s="75"/>
      <c r="C66" s="35">
        <f>INDEX(Données!$F$2:$L$54,MATCH(F66,Données!$F$2:$F$54,0),2)</f>
        <v>43892</v>
      </c>
      <c r="D66" s="29" t="str">
        <f t="shared" si="0"/>
        <v>#2</v>
      </c>
      <c r="E66" s="7">
        <f>Données!K11</f>
        <v>43896</v>
      </c>
      <c r="F66" s="6" t="str">
        <f>INDEX(Données!$F$2:$L$54,MATCH('#2'!E66,Données!$G$2:$G$54,1),1)</f>
        <v>10</v>
      </c>
      <c r="G66" s="18" t="str">
        <f t="shared" si="1"/>
        <v>PS-2</v>
      </c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1"/>
      <c r="W66" s="75"/>
      <c r="X66" s="75"/>
      <c r="Y66" s="75"/>
      <c r="Z66" s="96">
        <f>SUM(Tableau14[[#This Row],[A-1]:[G-5]])</f>
        <v>0</v>
      </c>
      <c r="AA66" s="96" t="str">
        <f>IF(AND(Z66&gt;0,Tableau14[[#This Row],[CDS]]=""),"Oui","Non")</f>
        <v>Non</v>
      </c>
      <c r="AB66" s="75"/>
      <c r="AC66" s="75"/>
      <c r="AD66" s="75"/>
      <c r="AE66" s="75"/>
      <c r="AF66" s="75"/>
      <c r="AG66" s="75"/>
      <c r="AH66" s="75"/>
      <c r="AI66" s="75"/>
      <c r="AJ66" s="81"/>
      <c r="AK66" s="75"/>
      <c r="AL66" s="75"/>
    </row>
    <row r="67" spans="1:38" ht="15.75" hidden="1" thickBot="1" x14ac:dyDescent="0.3">
      <c r="A67" s="75"/>
      <c r="B67" s="75"/>
      <c r="C67" s="35">
        <f>INDEX(Données!$F$2:$L$54,MATCH(F67,Données!$F$2:$F$54,0),2)</f>
        <v>43892</v>
      </c>
      <c r="D67" s="29" t="str">
        <f t="shared" si="0"/>
        <v>#2</v>
      </c>
      <c r="E67" s="7">
        <f>Données!L11</f>
        <v>43897</v>
      </c>
      <c r="F67" s="6" t="str">
        <f>INDEX(Données!$F$2:$L$54,MATCH('#2'!E67,Données!$G$2:$G$54,1),1)</f>
        <v>10</v>
      </c>
      <c r="G67" s="18" t="str">
        <f t="shared" si="1"/>
        <v>PS-2</v>
      </c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1"/>
      <c r="W67" s="75"/>
      <c r="X67" s="75"/>
      <c r="Y67" s="75"/>
      <c r="Z67" s="96">
        <f>SUM(Tableau14[[#This Row],[A-1]:[G-5]])</f>
        <v>0</v>
      </c>
      <c r="AA67" s="96" t="str">
        <f>IF(AND(Z67&gt;0,Tableau14[[#This Row],[CDS]]=""),"Oui","Non")</f>
        <v>Non</v>
      </c>
      <c r="AB67" s="75"/>
      <c r="AC67" s="75"/>
      <c r="AD67" s="75"/>
      <c r="AE67" s="75"/>
      <c r="AF67" s="75"/>
      <c r="AG67" s="75"/>
      <c r="AH67" s="75"/>
      <c r="AI67" s="75"/>
      <c r="AJ67" s="81"/>
      <c r="AK67" s="75"/>
      <c r="AL67" s="75"/>
    </row>
    <row r="68" spans="1:38" ht="15.75" hidden="1" thickBot="1" x14ac:dyDescent="0.3">
      <c r="A68" s="75"/>
      <c r="B68" s="75"/>
      <c r="C68" s="35">
        <f>INDEX(Données!$F$2:$L$54,MATCH(F68,Données!$F$2:$F$54,0),2)</f>
        <v>43899</v>
      </c>
      <c r="D68" s="29" t="str">
        <f t="shared" si="0"/>
        <v>#2</v>
      </c>
      <c r="E68" s="7">
        <f>Données!G12</f>
        <v>43899</v>
      </c>
      <c r="F68" s="6" t="str">
        <f>INDEX(Données!$F$2:$L$54,MATCH('#2'!E68,Données!$G$2:$G$54,1),1)</f>
        <v>11</v>
      </c>
      <c r="G68" s="18" t="str">
        <f t="shared" si="1"/>
        <v>PS-2</v>
      </c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1"/>
      <c r="W68" s="75"/>
      <c r="X68" s="75"/>
      <c r="Y68" s="75"/>
      <c r="Z68" s="96">
        <f>SUM(Tableau14[[#This Row],[A-1]:[G-5]])</f>
        <v>0</v>
      </c>
      <c r="AA68" s="96" t="str">
        <f>IF(AND(Z68&gt;0,Tableau14[[#This Row],[CDS]]=""),"Oui","Non")</f>
        <v>Non</v>
      </c>
      <c r="AB68" s="75"/>
      <c r="AC68" s="75"/>
      <c r="AD68" s="75"/>
      <c r="AE68" s="75"/>
      <c r="AF68" s="75"/>
      <c r="AG68" s="75"/>
      <c r="AH68" s="75"/>
      <c r="AI68" s="75"/>
      <c r="AJ68" s="81"/>
      <c r="AK68" s="75"/>
      <c r="AL68" s="75"/>
    </row>
    <row r="69" spans="1:38" ht="15.75" hidden="1" thickBot="1" x14ac:dyDescent="0.3">
      <c r="A69" s="75"/>
      <c r="B69" s="75"/>
      <c r="C69" s="35">
        <f>INDEX(Données!$F$2:$L$54,MATCH(F69,Données!$F$2:$F$54,0),2)</f>
        <v>43899</v>
      </c>
      <c r="D69" s="29" t="str">
        <f t="shared" si="0"/>
        <v>#2</v>
      </c>
      <c r="E69" s="7">
        <f>Données!H12</f>
        <v>43900</v>
      </c>
      <c r="F69" s="6" t="str">
        <f>INDEX(Données!$F$2:$L$54,MATCH('#2'!E69,Données!$G$2:$G$54,1),1)</f>
        <v>11</v>
      </c>
      <c r="G69" s="18" t="str">
        <f t="shared" si="1"/>
        <v>PS-2</v>
      </c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1"/>
      <c r="W69" s="75"/>
      <c r="X69" s="75"/>
      <c r="Y69" s="75"/>
      <c r="Z69" s="96">
        <f>SUM(Tableau14[[#This Row],[A-1]:[G-5]])</f>
        <v>0</v>
      </c>
      <c r="AA69" s="96" t="str">
        <f>IF(AND(Z69&gt;0,Tableau14[[#This Row],[CDS]]=""),"Oui","Non")</f>
        <v>Non</v>
      </c>
      <c r="AB69" s="75"/>
      <c r="AC69" s="75"/>
      <c r="AD69" s="75"/>
      <c r="AE69" s="75"/>
      <c r="AF69" s="75"/>
      <c r="AG69" s="75"/>
      <c r="AH69" s="75"/>
      <c r="AI69" s="75"/>
      <c r="AJ69" s="81"/>
      <c r="AK69" s="75"/>
      <c r="AL69" s="75"/>
    </row>
    <row r="70" spans="1:38" ht="15.75" hidden="1" thickBot="1" x14ac:dyDescent="0.3">
      <c r="A70" s="75"/>
      <c r="B70" s="75"/>
      <c r="C70" s="35">
        <f>INDEX(Données!$F$2:$L$54,MATCH(F70,Données!$F$2:$F$54,0),2)</f>
        <v>43899</v>
      </c>
      <c r="D70" s="29" t="str">
        <f t="shared" si="0"/>
        <v>#2</v>
      </c>
      <c r="E70" s="7">
        <f>Données!I12</f>
        <v>43901</v>
      </c>
      <c r="F70" s="6" t="str">
        <f>INDEX(Données!$F$2:$L$54,MATCH('#2'!E70,Données!$G$2:$G$54,1),1)</f>
        <v>11</v>
      </c>
      <c r="G70" s="18" t="str">
        <f t="shared" si="1"/>
        <v>PS-2</v>
      </c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1"/>
      <c r="W70" s="75"/>
      <c r="X70" s="75"/>
      <c r="Y70" s="75"/>
      <c r="Z70" s="96">
        <f>SUM(Tableau14[[#This Row],[A-1]:[G-5]])</f>
        <v>0</v>
      </c>
      <c r="AA70" s="96" t="str">
        <f>IF(AND(Z70&gt;0,Tableau14[[#This Row],[CDS]]=""),"Oui","Non")</f>
        <v>Non</v>
      </c>
      <c r="AB70" s="75"/>
      <c r="AC70" s="75"/>
      <c r="AD70" s="75"/>
      <c r="AE70" s="75"/>
      <c r="AF70" s="75"/>
      <c r="AG70" s="75"/>
      <c r="AH70" s="75"/>
      <c r="AI70" s="75"/>
      <c r="AJ70" s="81"/>
      <c r="AK70" s="75"/>
      <c r="AL70" s="75"/>
    </row>
    <row r="71" spans="1:38" ht="15.75" hidden="1" thickBot="1" x14ac:dyDescent="0.3">
      <c r="A71" s="75"/>
      <c r="B71" s="75"/>
      <c r="C71" s="35">
        <f>INDEX(Données!$F$2:$L$54,MATCH(F71,Données!$F$2:$F$54,0),2)</f>
        <v>43899</v>
      </c>
      <c r="D71" s="29" t="str">
        <f t="shared" si="0"/>
        <v>#2</v>
      </c>
      <c r="E71" s="7">
        <f>Données!J12</f>
        <v>43902</v>
      </c>
      <c r="F71" s="6" t="str">
        <f>INDEX(Données!$F$2:$L$54,MATCH('#2'!E71,Données!$G$2:$G$54,1),1)</f>
        <v>11</v>
      </c>
      <c r="G71" s="18" t="str">
        <f t="shared" si="1"/>
        <v>PS-2</v>
      </c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1"/>
      <c r="W71" s="75"/>
      <c r="X71" s="75"/>
      <c r="Y71" s="75"/>
      <c r="Z71" s="96">
        <f>SUM(Tableau14[[#This Row],[A-1]:[G-5]])</f>
        <v>0</v>
      </c>
      <c r="AA71" s="96" t="str">
        <f>IF(AND(Z71&gt;0,Tableau14[[#This Row],[CDS]]=""),"Oui","Non")</f>
        <v>Non</v>
      </c>
      <c r="AB71" s="75"/>
      <c r="AC71" s="75"/>
      <c r="AD71" s="75"/>
      <c r="AE71" s="75"/>
      <c r="AF71" s="75"/>
      <c r="AG71" s="75"/>
      <c r="AH71" s="75"/>
      <c r="AI71" s="75"/>
      <c r="AJ71" s="81"/>
      <c r="AK71" s="75"/>
      <c r="AL71" s="75"/>
    </row>
    <row r="72" spans="1:38" ht="15.75" hidden="1" thickBot="1" x14ac:dyDescent="0.3">
      <c r="A72" s="75"/>
      <c r="B72" s="75"/>
      <c r="C72" s="35">
        <f>INDEX(Données!$F$2:$L$54,MATCH(F72,Données!$F$2:$F$54,0),2)</f>
        <v>43899</v>
      </c>
      <c r="D72" s="29" t="str">
        <f t="shared" ref="D72:D135" si="2">$E$4</f>
        <v>#2</v>
      </c>
      <c r="E72" s="7">
        <f>Données!K12</f>
        <v>43903</v>
      </c>
      <c r="F72" s="6" t="str">
        <f>INDEX(Données!$F$2:$L$54,MATCH('#2'!E72,Données!$G$2:$G$54,1),1)</f>
        <v>11</v>
      </c>
      <c r="G72" s="18" t="str">
        <f t="shared" ref="G72:G135" si="3">IF(AND($V$5=1),"PS-1",IF(AND($V$5=2),"PS-2",IF(AND($V$5=4),"PS-4",IF(AND($V$5=6),"S.O.",IF(AND($V$5=5),"")))))</f>
        <v>PS-2</v>
      </c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1"/>
      <c r="W72" s="75"/>
      <c r="X72" s="75"/>
      <c r="Y72" s="75"/>
      <c r="Z72" s="96">
        <f>SUM(Tableau14[[#This Row],[A-1]:[G-5]])</f>
        <v>0</v>
      </c>
      <c r="AA72" s="96" t="str">
        <f>IF(AND(Z72&gt;0,Tableau14[[#This Row],[CDS]]=""),"Oui","Non")</f>
        <v>Non</v>
      </c>
      <c r="AB72" s="75"/>
      <c r="AC72" s="75"/>
      <c r="AD72" s="75"/>
      <c r="AE72" s="75"/>
      <c r="AF72" s="75"/>
      <c r="AG72" s="75"/>
      <c r="AH72" s="75"/>
      <c r="AI72" s="75"/>
      <c r="AJ72" s="81"/>
      <c r="AK72" s="75"/>
      <c r="AL72" s="75"/>
    </row>
    <row r="73" spans="1:38" ht="15.75" hidden="1" thickBot="1" x14ac:dyDescent="0.3">
      <c r="A73" s="75"/>
      <c r="B73" s="75"/>
      <c r="C73" s="35">
        <f>INDEX(Données!$F$2:$L$54,MATCH(F73,Données!$F$2:$F$54,0),2)</f>
        <v>43899</v>
      </c>
      <c r="D73" s="29" t="str">
        <f t="shared" si="2"/>
        <v>#2</v>
      </c>
      <c r="E73" s="7">
        <f>Données!L12</f>
        <v>43904</v>
      </c>
      <c r="F73" s="6" t="str">
        <f>INDEX(Données!$F$2:$L$54,MATCH('#2'!E73,Données!$G$2:$G$54,1),1)</f>
        <v>11</v>
      </c>
      <c r="G73" s="18" t="str">
        <f t="shared" si="3"/>
        <v>PS-2</v>
      </c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1"/>
      <c r="W73" s="75"/>
      <c r="X73" s="75"/>
      <c r="Y73" s="75"/>
      <c r="Z73" s="96">
        <f>SUM(Tableau14[[#This Row],[A-1]:[G-5]])</f>
        <v>0</v>
      </c>
      <c r="AA73" s="96" t="str">
        <f>IF(AND(Z73&gt;0,Tableau14[[#This Row],[CDS]]=""),"Oui","Non")</f>
        <v>Non</v>
      </c>
      <c r="AB73" s="75"/>
      <c r="AC73" s="75"/>
      <c r="AD73" s="75"/>
      <c r="AE73" s="75"/>
      <c r="AF73" s="75"/>
      <c r="AG73" s="75"/>
      <c r="AH73" s="75"/>
      <c r="AI73" s="75"/>
      <c r="AJ73" s="81"/>
      <c r="AK73" s="75"/>
      <c r="AL73" s="75"/>
    </row>
    <row r="74" spans="1:38" ht="15.75" hidden="1" thickBot="1" x14ac:dyDescent="0.3">
      <c r="A74" s="75"/>
      <c r="B74" s="75"/>
      <c r="C74" s="35">
        <f>INDEX(Données!$F$2:$L$54,MATCH(F74,Données!$F$2:$F$54,0),2)</f>
        <v>43906</v>
      </c>
      <c r="D74" s="29" t="str">
        <f t="shared" si="2"/>
        <v>#2</v>
      </c>
      <c r="E74" s="7">
        <f>Données!G13</f>
        <v>43906</v>
      </c>
      <c r="F74" s="6" t="str">
        <f>INDEX(Données!$F$2:$L$54,MATCH('#2'!E74,Données!$G$2:$G$54,1),1)</f>
        <v>12</v>
      </c>
      <c r="G74" s="18" t="str">
        <f t="shared" si="3"/>
        <v>PS-2</v>
      </c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1"/>
      <c r="W74" s="75"/>
      <c r="X74" s="75"/>
      <c r="Y74" s="75"/>
      <c r="Z74" s="96">
        <f>SUM(Tableau14[[#This Row],[A-1]:[G-5]])</f>
        <v>0</v>
      </c>
      <c r="AA74" s="96" t="str">
        <f>IF(AND(Z74&gt;0,Tableau14[[#This Row],[CDS]]=""),"Oui","Non")</f>
        <v>Non</v>
      </c>
      <c r="AB74" s="75"/>
      <c r="AC74" s="75"/>
      <c r="AD74" s="75"/>
      <c r="AE74" s="75"/>
      <c r="AF74" s="75"/>
      <c r="AG74" s="75"/>
      <c r="AH74" s="75"/>
      <c r="AI74" s="75"/>
      <c r="AJ74" s="81"/>
      <c r="AK74" s="75"/>
      <c r="AL74" s="75"/>
    </row>
    <row r="75" spans="1:38" ht="15.75" hidden="1" thickBot="1" x14ac:dyDescent="0.3">
      <c r="A75" s="75"/>
      <c r="B75" s="75"/>
      <c r="C75" s="35">
        <f>INDEX(Données!$F$2:$L$54,MATCH(F75,Données!$F$2:$F$54,0),2)</f>
        <v>43906</v>
      </c>
      <c r="D75" s="29" t="str">
        <f t="shared" si="2"/>
        <v>#2</v>
      </c>
      <c r="E75" s="7">
        <f>Données!H13</f>
        <v>43907</v>
      </c>
      <c r="F75" s="6" t="str">
        <f>INDEX(Données!$F$2:$L$54,MATCH('#2'!E75,Données!$G$2:$G$54,1),1)</f>
        <v>12</v>
      </c>
      <c r="G75" s="18" t="str">
        <f t="shared" si="3"/>
        <v>PS-2</v>
      </c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1"/>
      <c r="W75" s="75"/>
      <c r="X75" s="75"/>
      <c r="Y75" s="75"/>
      <c r="Z75" s="96">
        <f>SUM(Tableau14[[#This Row],[A-1]:[G-5]])</f>
        <v>0</v>
      </c>
      <c r="AA75" s="96" t="str">
        <f>IF(AND(Z75&gt;0,Tableau14[[#This Row],[CDS]]=""),"Oui","Non")</f>
        <v>Non</v>
      </c>
      <c r="AB75" s="75"/>
      <c r="AC75" s="75"/>
      <c r="AD75" s="75"/>
      <c r="AE75" s="75"/>
      <c r="AF75" s="75"/>
      <c r="AG75" s="75"/>
      <c r="AH75" s="75"/>
      <c r="AI75" s="75"/>
      <c r="AJ75" s="81"/>
      <c r="AK75" s="75"/>
      <c r="AL75" s="75"/>
    </row>
    <row r="76" spans="1:38" ht="15.75" hidden="1" thickBot="1" x14ac:dyDescent="0.3">
      <c r="A76" s="75"/>
      <c r="B76" s="75"/>
      <c r="C76" s="35">
        <f>INDEX(Données!$F$2:$L$54,MATCH(F76,Données!$F$2:$F$54,0),2)</f>
        <v>43906</v>
      </c>
      <c r="D76" s="29" t="str">
        <f t="shared" si="2"/>
        <v>#2</v>
      </c>
      <c r="E76" s="7">
        <f>Données!I13</f>
        <v>43908</v>
      </c>
      <c r="F76" s="6" t="str">
        <f>INDEX(Données!$F$2:$L$54,MATCH('#2'!E76,Données!$G$2:$G$54,1),1)</f>
        <v>12</v>
      </c>
      <c r="G76" s="18" t="str">
        <f t="shared" si="3"/>
        <v>PS-2</v>
      </c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1"/>
      <c r="W76" s="75"/>
      <c r="X76" s="75"/>
      <c r="Y76" s="75"/>
      <c r="Z76" s="96">
        <f>SUM(Tableau14[[#This Row],[A-1]:[G-5]])</f>
        <v>0</v>
      </c>
      <c r="AA76" s="96" t="str">
        <f>IF(AND(Z76&gt;0,Tableau14[[#This Row],[CDS]]=""),"Oui","Non")</f>
        <v>Non</v>
      </c>
      <c r="AB76" s="75"/>
      <c r="AC76" s="75"/>
      <c r="AD76" s="75"/>
      <c r="AE76" s="75"/>
      <c r="AF76" s="75"/>
      <c r="AG76" s="75"/>
      <c r="AH76" s="75"/>
      <c r="AI76" s="75"/>
      <c r="AJ76" s="81"/>
      <c r="AK76" s="75"/>
      <c r="AL76" s="75"/>
    </row>
    <row r="77" spans="1:38" ht="15.75" hidden="1" thickBot="1" x14ac:dyDescent="0.3">
      <c r="A77" s="75"/>
      <c r="B77" s="75"/>
      <c r="C77" s="35">
        <f>INDEX(Données!$F$2:$L$54,MATCH(F77,Données!$F$2:$F$54,0),2)</f>
        <v>43906</v>
      </c>
      <c r="D77" s="29" t="str">
        <f t="shared" si="2"/>
        <v>#2</v>
      </c>
      <c r="E77" s="7">
        <f>Données!J13</f>
        <v>43909</v>
      </c>
      <c r="F77" s="6" t="str">
        <f>INDEX(Données!$F$2:$L$54,MATCH('#2'!E77,Données!$G$2:$G$54,1),1)</f>
        <v>12</v>
      </c>
      <c r="G77" s="18" t="str">
        <f t="shared" si="3"/>
        <v>PS-2</v>
      </c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1"/>
      <c r="W77" s="75"/>
      <c r="X77" s="75"/>
      <c r="Y77" s="75"/>
      <c r="Z77" s="96">
        <f>SUM(Tableau14[[#This Row],[A-1]:[G-5]])</f>
        <v>0</v>
      </c>
      <c r="AA77" s="96" t="str">
        <f>IF(AND(Z77&gt;0,Tableau14[[#This Row],[CDS]]=""),"Oui","Non")</f>
        <v>Non</v>
      </c>
      <c r="AB77" s="75"/>
      <c r="AC77" s="75"/>
      <c r="AD77" s="75"/>
      <c r="AE77" s="75"/>
      <c r="AF77" s="75"/>
      <c r="AG77" s="75"/>
      <c r="AH77" s="75"/>
      <c r="AI77" s="75"/>
      <c r="AJ77" s="81"/>
      <c r="AK77" s="75"/>
      <c r="AL77" s="75"/>
    </row>
    <row r="78" spans="1:38" ht="15.75" hidden="1" thickBot="1" x14ac:dyDescent="0.3">
      <c r="A78" s="75"/>
      <c r="B78" s="75"/>
      <c r="C78" s="35">
        <f>INDEX(Données!$F$2:$L$54,MATCH(F78,Données!$F$2:$F$54,0),2)</f>
        <v>43906</v>
      </c>
      <c r="D78" s="29" t="str">
        <f t="shared" si="2"/>
        <v>#2</v>
      </c>
      <c r="E78" s="7">
        <f>Données!K13</f>
        <v>43910</v>
      </c>
      <c r="F78" s="6" t="str">
        <f>INDEX(Données!$F$2:$L$54,MATCH('#2'!E78,Données!$G$2:$G$54,1),1)</f>
        <v>12</v>
      </c>
      <c r="G78" s="18" t="str">
        <f t="shared" si="3"/>
        <v>PS-2</v>
      </c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1"/>
      <c r="W78" s="75"/>
      <c r="X78" s="75"/>
      <c r="Y78" s="75"/>
      <c r="Z78" s="96">
        <f>SUM(Tableau14[[#This Row],[A-1]:[G-5]])</f>
        <v>0</v>
      </c>
      <c r="AA78" s="96" t="str">
        <f>IF(AND(Z78&gt;0,Tableau14[[#This Row],[CDS]]=""),"Oui","Non")</f>
        <v>Non</v>
      </c>
      <c r="AB78" s="75"/>
      <c r="AC78" s="75"/>
      <c r="AD78" s="75"/>
      <c r="AE78" s="75"/>
      <c r="AF78" s="75"/>
      <c r="AG78" s="75"/>
      <c r="AH78" s="75"/>
      <c r="AI78" s="75"/>
      <c r="AJ78" s="81"/>
      <c r="AK78" s="75"/>
      <c r="AL78" s="75"/>
    </row>
    <row r="79" spans="1:38" ht="15.75" hidden="1" thickBot="1" x14ac:dyDescent="0.3">
      <c r="A79" s="75"/>
      <c r="B79" s="75"/>
      <c r="C79" s="35">
        <f>INDEX(Données!$F$2:$L$54,MATCH(F79,Données!$F$2:$F$54,0),2)</f>
        <v>43906</v>
      </c>
      <c r="D79" s="29" t="str">
        <f t="shared" si="2"/>
        <v>#2</v>
      </c>
      <c r="E79" s="7">
        <f>Données!L13</f>
        <v>43911</v>
      </c>
      <c r="F79" s="6" t="str">
        <f>INDEX(Données!$F$2:$L$54,MATCH('#2'!E79,Données!$G$2:$G$54,1),1)</f>
        <v>12</v>
      </c>
      <c r="G79" s="18" t="str">
        <f t="shared" si="3"/>
        <v>PS-2</v>
      </c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1"/>
      <c r="W79" s="75"/>
      <c r="X79" s="75"/>
      <c r="Y79" s="75"/>
      <c r="Z79" s="96">
        <f>SUM(Tableau14[[#This Row],[A-1]:[G-5]])</f>
        <v>0</v>
      </c>
      <c r="AA79" s="96" t="str">
        <f>IF(AND(Z79&gt;0,Tableau14[[#This Row],[CDS]]=""),"Oui","Non")</f>
        <v>Non</v>
      </c>
      <c r="AB79" s="75"/>
      <c r="AC79" s="75"/>
      <c r="AD79" s="75"/>
      <c r="AE79" s="75"/>
      <c r="AF79" s="75"/>
      <c r="AG79" s="75"/>
      <c r="AH79" s="75"/>
      <c r="AI79" s="75"/>
      <c r="AJ79" s="81"/>
      <c r="AK79" s="75"/>
      <c r="AL79" s="75"/>
    </row>
    <row r="80" spans="1:38" ht="15.75" hidden="1" thickBot="1" x14ac:dyDescent="0.3">
      <c r="A80" s="75"/>
      <c r="B80" s="75"/>
      <c r="C80" s="35">
        <f>INDEX(Données!$F$2:$L$54,MATCH(F80,Données!$F$2:$F$54,0),2)</f>
        <v>43913</v>
      </c>
      <c r="D80" s="29" t="str">
        <f t="shared" si="2"/>
        <v>#2</v>
      </c>
      <c r="E80" s="7">
        <f>Données!G14</f>
        <v>43913</v>
      </c>
      <c r="F80" s="6" t="str">
        <f>INDEX(Données!$F$2:$L$54,MATCH('#2'!E80,Données!$G$2:$G$54,1),1)</f>
        <v>13</v>
      </c>
      <c r="G80" s="18" t="str">
        <f t="shared" si="3"/>
        <v>PS-2</v>
      </c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1"/>
      <c r="W80" s="75"/>
      <c r="X80" s="75"/>
      <c r="Y80" s="75"/>
      <c r="Z80" s="96">
        <f>SUM(Tableau14[[#This Row],[A-1]:[G-5]])</f>
        <v>0</v>
      </c>
      <c r="AA80" s="96" t="str">
        <f>IF(AND(Z80&gt;0,Tableau14[[#This Row],[CDS]]=""),"Oui","Non")</f>
        <v>Non</v>
      </c>
      <c r="AB80" s="75"/>
      <c r="AC80" s="75"/>
      <c r="AD80" s="75"/>
      <c r="AE80" s="75"/>
      <c r="AF80" s="75"/>
      <c r="AG80" s="75"/>
      <c r="AH80" s="75"/>
      <c r="AI80" s="75"/>
      <c r="AJ80" s="81"/>
      <c r="AK80" s="75"/>
      <c r="AL80" s="75"/>
    </row>
    <row r="81" spans="1:38" ht="15.75" hidden="1" thickBot="1" x14ac:dyDescent="0.3">
      <c r="A81" s="75"/>
      <c r="B81" s="75"/>
      <c r="C81" s="35">
        <f>INDEX(Données!$F$2:$L$54,MATCH(F81,Données!$F$2:$F$54,0),2)</f>
        <v>43913</v>
      </c>
      <c r="D81" s="29" t="str">
        <f t="shared" si="2"/>
        <v>#2</v>
      </c>
      <c r="E81" s="7">
        <f>Données!H14</f>
        <v>43914</v>
      </c>
      <c r="F81" s="6" t="str">
        <f>INDEX(Données!$F$2:$L$54,MATCH('#2'!E81,Données!$G$2:$G$54,1),1)</f>
        <v>13</v>
      </c>
      <c r="G81" s="18" t="str">
        <f t="shared" si="3"/>
        <v>PS-2</v>
      </c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1"/>
      <c r="W81" s="75"/>
      <c r="X81" s="75"/>
      <c r="Y81" s="75"/>
      <c r="Z81" s="96">
        <f>SUM(Tableau14[[#This Row],[A-1]:[G-5]])</f>
        <v>0</v>
      </c>
      <c r="AA81" s="96" t="str">
        <f>IF(AND(Z81&gt;0,Tableau14[[#This Row],[CDS]]=""),"Oui","Non")</f>
        <v>Non</v>
      </c>
      <c r="AB81" s="75"/>
      <c r="AC81" s="75"/>
      <c r="AD81" s="75"/>
      <c r="AE81" s="75"/>
      <c r="AF81" s="75"/>
      <c r="AG81" s="75"/>
      <c r="AH81" s="75"/>
      <c r="AI81" s="75"/>
      <c r="AJ81" s="81"/>
      <c r="AK81" s="75"/>
      <c r="AL81" s="75"/>
    </row>
    <row r="82" spans="1:38" ht="15.75" hidden="1" thickBot="1" x14ac:dyDescent="0.3">
      <c r="A82" s="75"/>
      <c r="B82" s="75"/>
      <c r="C82" s="35">
        <f>INDEX(Données!$F$2:$L$54,MATCH(F82,Données!$F$2:$F$54,0),2)</f>
        <v>43913</v>
      </c>
      <c r="D82" s="29" t="str">
        <f t="shared" si="2"/>
        <v>#2</v>
      </c>
      <c r="E82" s="7">
        <f>Données!I14</f>
        <v>43915</v>
      </c>
      <c r="F82" s="6" t="str">
        <f>INDEX(Données!$F$2:$L$54,MATCH('#2'!E82,Données!$G$2:$G$54,1),1)</f>
        <v>13</v>
      </c>
      <c r="G82" s="18" t="str">
        <f t="shared" si="3"/>
        <v>PS-2</v>
      </c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1"/>
      <c r="W82" s="75"/>
      <c r="X82" s="75"/>
      <c r="Y82" s="75"/>
      <c r="Z82" s="96">
        <f>SUM(Tableau14[[#This Row],[A-1]:[G-5]])</f>
        <v>0</v>
      </c>
      <c r="AA82" s="96" t="str">
        <f>IF(AND(Z82&gt;0,Tableau14[[#This Row],[CDS]]=""),"Oui","Non")</f>
        <v>Non</v>
      </c>
      <c r="AB82" s="75"/>
      <c r="AC82" s="75"/>
      <c r="AD82" s="75"/>
      <c r="AE82" s="75"/>
      <c r="AF82" s="75"/>
      <c r="AG82" s="75"/>
      <c r="AH82" s="75"/>
      <c r="AI82" s="75"/>
      <c r="AJ82" s="81"/>
      <c r="AK82" s="75"/>
      <c r="AL82" s="75"/>
    </row>
    <row r="83" spans="1:38" ht="15.75" hidden="1" thickBot="1" x14ac:dyDescent="0.3">
      <c r="A83" s="75"/>
      <c r="B83" s="75"/>
      <c r="C83" s="35">
        <f>INDEX(Données!$F$2:$L$54,MATCH(F83,Données!$F$2:$F$54,0),2)</f>
        <v>43913</v>
      </c>
      <c r="D83" s="29" t="str">
        <f t="shared" si="2"/>
        <v>#2</v>
      </c>
      <c r="E83" s="7">
        <f>Données!J14</f>
        <v>43916</v>
      </c>
      <c r="F83" s="6" t="str">
        <f>INDEX(Données!$F$2:$L$54,MATCH('#2'!E83,Données!$G$2:$G$54,1),1)</f>
        <v>13</v>
      </c>
      <c r="G83" s="18" t="str">
        <f t="shared" si="3"/>
        <v>PS-2</v>
      </c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1"/>
      <c r="W83" s="75"/>
      <c r="X83" s="75"/>
      <c r="Y83" s="75"/>
      <c r="Z83" s="96">
        <f>SUM(Tableau14[[#This Row],[A-1]:[G-5]])</f>
        <v>0</v>
      </c>
      <c r="AA83" s="96" t="str">
        <f>IF(AND(Z83&gt;0,Tableau14[[#This Row],[CDS]]=""),"Oui","Non")</f>
        <v>Non</v>
      </c>
      <c r="AB83" s="75"/>
      <c r="AC83" s="75"/>
      <c r="AD83" s="75"/>
      <c r="AE83" s="75"/>
      <c r="AF83" s="75"/>
      <c r="AG83" s="75"/>
      <c r="AH83" s="75"/>
      <c r="AI83" s="75"/>
      <c r="AJ83" s="81"/>
      <c r="AK83" s="75"/>
      <c r="AL83" s="75"/>
    </row>
    <row r="84" spans="1:38" ht="15.75" hidden="1" thickBot="1" x14ac:dyDescent="0.3">
      <c r="A84" s="75"/>
      <c r="B84" s="75"/>
      <c r="C84" s="35">
        <f>INDEX(Données!$F$2:$L$54,MATCH(F84,Données!$F$2:$F$54,0),2)</f>
        <v>43913</v>
      </c>
      <c r="D84" s="29" t="str">
        <f t="shared" si="2"/>
        <v>#2</v>
      </c>
      <c r="E84" s="7">
        <f>Données!K14</f>
        <v>43917</v>
      </c>
      <c r="F84" s="6" t="str">
        <f>INDEX(Données!$F$2:$L$54,MATCH('#2'!E84,Données!$G$2:$G$54,1),1)</f>
        <v>13</v>
      </c>
      <c r="G84" s="18" t="str">
        <f t="shared" si="3"/>
        <v>PS-2</v>
      </c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1"/>
      <c r="W84" s="75"/>
      <c r="X84" s="75"/>
      <c r="Y84" s="75"/>
      <c r="Z84" s="96">
        <f>SUM(Tableau14[[#This Row],[A-1]:[G-5]])</f>
        <v>0</v>
      </c>
      <c r="AA84" s="96" t="str">
        <f>IF(AND(Z84&gt;0,Tableau14[[#This Row],[CDS]]=""),"Oui","Non")</f>
        <v>Non</v>
      </c>
      <c r="AB84" s="75"/>
      <c r="AC84" s="75"/>
      <c r="AD84" s="75"/>
      <c r="AE84" s="75"/>
      <c r="AF84" s="75"/>
      <c r="AG84" s="75"/>
      <c r="AH84" s="75"/>
      <c r="AI84" s="75"/>
      <c r="AJ84" s="81"/>
      <c r="AK84" s="75"/>
      <c r="AL84" s="75"/>
    </row>
    <row r="85" spans="1:38" ht="15.75" hidden="1" thickBot="1" x14ac:dyDescent="0.3">
      <c r="A85" s="75"/>
      <c r="B85" s="75"/>
      <c r="C85" s="35">
        <f>INDEX(Données!$F$2:$L$54,MATCH(F85,Données!$F$2:$F$54,0),2)</f>
        <v>43913</v>
      </c>
      <c r="D85" s="29" t="str">
        <f t="shared" si="2"/>
        <v>#2</v>
      </c>
      <c r="E85" s="7">
        <f>Données!L14</f>
        <v>43918</v>
      </c>
      <c r="F85" s="6" t="str">
        <f>INDEX(Données!$F$2:$L$54,MATCH('#2'!E85,Données!$G$2:$G$54,1),1)</f>
        <v>13</v>
      </c>
      <c r="G85" s="18" t="str">
        <f t="shared" si="3"/>
        <v>PS-2</v>
      </c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1"/>
      <c r="W85" s="75"/>
      <c r="X85" s="75"/>
      <c r="Y85" s="75"/>
      <c r="Z85" s="96">
        <f>SUM(Tableau14[[#This Row],[A-1]:[G-5]])</f>
        <v>0</v>
      </c>
      <c r="AA85" s="96" t="str">
        <f>IF(AND(Z85&gt;0,Tableau14[[#This Row],[CDS]]=""),"Oui","Non")</f>
        <v>Non</v>
      </c>
      <c r="AB85" s="75"/>
      <c r="AC85" s="75"/>
      <c r="AD85" s="75"/>
      <c r="AE85" s="75"/>
      <c r="AF85" s="75"/>
      <c r="AG85" s="75"/>
      <c r="AH85" s="75"/>
      <c r="AI85" s="75"/>
      <c r="AJ85" s="81"/>
      <c r="AK85" s="75"/>
      <c r="AL85" s="75"/>
    </row>
    <row r="86" spans="1:38" ht="15.75" hidden="1" thickBot="1" x14ac:dyDescent="0.3">
      <c r="A86" s="75"/>
      <c r="B86" s="75"/>
      <c r="C86" s="35">
        <f>INDEX(Données!$F$2:$L$54,MATCH(F86,Données!$F$2:$F$54,0),2)</f>
        <v>43920</v>
      </c>
      <c r="D86" s="29" t="str">
        <f t="shared" si="2"/>
        <v>#2</v>
      </c>
      <c r="E86" s="7">
        <f>Données!G15</f>
        <v>43920</v>
      </c>
      <c r="F86" s="6" t="str">
        <f>INDEX(Données!$F$2:$L$54,MATCH('#2'!E86,Données!$G$2:$G$54,1),1)</f>
        <v>14</v>
      </c>
      <c r="G86" s="18" t="str">
        <f t="shared" si="3"/>
        <v>PS-2</v>
      </c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1"/>
      <c r="W86" s="75"/>
      <c r="X86" s="75"/>
      <c r="Y86" s="75"/>
      <c r="Z86" s="96">
        <f>SUM(Tableau14[[#This Row],[A-1]:[G-5]])</f>
        <v>0</v>
      </c>
      <c r="AA86" s="96" t="str">
        <f>IF(AND(Z86&gt;0,Tableau14[[#This Row],[CDS]]=""),"Oui","Non")</f>
        <v>Non</v>
      </c>
      <c r="AB86" s="75"/>
      <c r="AC86" s="75"/>
      <c r="AD86" s="75"/>
      <c r="AE86" s="75"/>
      <c r="AF86" s="75"/>
      <c r="AG86" s="75"/>
      <c r="AH86" s="75"/>
      <c r="AI86" s="75"/>
      <c r="AJ86" s="81"/>
      <c r="AK86" s="75"/>
      <c r="AL86" s="75"/>
    </row>
    <row r="87" spans="1:38" ht="15.75" hidden="1" thickBot="1" x14ac:dyDescent="0.3">
      <c r="A87" s="75"/>
      <c r="B87" s="75"/>
      <c r="C87" s="35">
        <f>INDEX(Données!$F$2:$L$54,MATCH(F87,Données!$F$2:$F$54,0),2)</f>
        <v>43920</v>
      </c>
      <c r="D87" s="29" t="str">
        <f t="shared" si="2"/>
        <v>#2</v>
      </c>
      <c r="E87" s="7">
        <f>Données!H15</f>
        <v>43921</v>
      </c>
      <c r="F87" s="6" t="str">
        <f>INDEX(Données!$F$2:$L$54,MATCH('#2'!E87,Données!$G$2:$G$54,1),1)</f>
        <v>14</v>
      </c>
      <c r="G87" s="18" t="str">
        <f t="shared" si="3"/>
        <v>PS-2</v>
      </c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1"/>
      <c r="W87" s="75"/>
      <c r="X87" s="75"/>
      <c r="Y87" s="75"/>
      <c r="Z87" s="96">
        <f>SUM(Tableau14[[#This Row],[A-1]:[G-5]])</f>
        <v>0</v>
      </c>
      <c r="AA87" s="96" t="str">
        <f>IF(AND(Z87&gt;0,Tableau14[[#This Row],[CDS]]=""),"Oui","Non")</f>
        <v>Non</v>
      </c>
      <c r="AB87" s="75"/>
      <c r="AC87" s="75"/>
      <c r="AD87" s="75"/>
      <c r="AE87" s="75"/>
      <c r="AF87" s="75"/>
      <c r="AG87" s="75"/>
      <c r="AH87" s="75"/>
      <c r="AI87" s="75"/>
      <c r="AJ87" s="81"/>
      <c r="AK87" s="75"/>
      <c r="AL87" s="75"/>
    </row>
    <row r="88" spans="1:38" ht="15.75" hidden="1" thickBot="1" x14ac:dyDescent="0.3">
      <c r="A88" s="75"/>
      <c r="B88" s="75"/>
      <c r="C88" s="35">
        <f>INDEX(Données!$F$2:$L$54,MATCH(F88,Données!$F$2:$F$54,0),2)</f>
        <v>43920</v>
      </c>
      <c r="D88" s="29" t="str">
        <f t="shared" si="2"/>
        <v>#2</v>
      </c>
      <c r="E88" s="7">
        <f>Données!I15</f>
        <v>43922</v>
      </c>
      <c r="F88" s="6" t="str">
        <f>INDEX(Données!$F$2:$L$54,MATCH('#2'!E88,Données!$G$2:$G$54,1),1)</f>
        <v>14</v>
      </c>
      <c r="G88" s="18" t="str">
        <f t="shared" si="3"/>
        <v>PS-2</v>
      </c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1"/>
      <c r="W88" s="75"/>
      <c r="X88" s="75"/>
      <c r="Y88" s="75"/>
      <c r="Z88" s="96">
        <f>SUM(Tableau14[[#This Row],[A-1]:[G-5]])</f>
        <v>0</v>
      </c>
      <c r="AA88" s="96" t="str">
        <f>IF(AND(Z88&gt;0,Tableau14[[#This Row],[CDS]]=""),"Oui","Non")</f>
        <v>Non</v>
      </c>
      <c r="AB88" s="75"/>
      <c r="AC88" s="75"/>
      <c r="AD88" s="75"/>
      <c r="AE88" s="75"/>
      <c r="AF88" s="75"/>
      <c r="AG88" s="75"/>
      <c r="AH88" s="75"/>
      <c r="AI88" s="75"/>
      <c r="AJ88" s="81"/>
      <c r="AK88" s="75"/>
      <c r="AL88" s="75"/>
    </row>
    <row r="89" spans="1:38" ht="15.75" hidden="1" thickBot="1" x14ac:dyDescent="0.3">
      <c r="A89" s="75"/>
      <c r="B89" s="75"/>
      <c r="C89" s="35">
        <f>INDEX(Données!$F$2:$L$54,MATCH(F89,Données!$F$2:$F$54,0),2)</f>
        <v>43920</v>
      </c>
      <c r="D89" s="29" t="str">
        <f t="shared" si="2"/>
        <v>#2</v>
      </c>
      <c r="E89" s="7">
        <f>Données!J15</f>
        <v>43923</v>
      </c>
      <c r="F89" s="6" t="str">
        <f>INDEX(Données!$F$2:$L$54,MATCH('#2'!E89,Données!$G$2:$G$54,1),1)</f>
        <v>14</v>
      </c>
      <c r="G89" s="18" t="str">
        <f t="shared" si="3"/>
        <v>PS-2</v>
      </c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1"/>
      <c r="W89" s="75"/>
      <c r="X89" s="75"/>
      <c r="Y89" s="75"/>
      <c r="Z89" s="96">
        <f>SUM(Tableau14[[#This Row],[A-1]:[G-5]])</f>
        <v>0</v>
      </c>
      <c r="AA89" s="96" t="str">
        <f>IF(AND(Z89&gt;0,Tableau14[[#This Row],[CDS]]=""),"Oui","Non")</f>
        <v>Non</v>
      </c>
      <c r="AB89" s="75"/>
      <c r="AC89" s="75"/>
      <c r="AD89" s="75"/>
      <c r="AE89" s="75"/>
      <c r="AF89" s="75"/>
      <c r="AG89" s="75"/>
      <c r="AH89" s="75"/>
      <c r="AI89" s="75"/>
      <c r="AJ89" s="81"/>
      <c r="AK89" s="75"/>
      <c r="AL89" s="75"/>
    </row>
    <row r="90" spans="1:38" ht="15.75" hidden="1" thickBot="1" x14ac:dyDescent="0.3">
      <c r="A90" s="75"/>
      <c r="B90" s="75"/>
      <c r="C90" s="35">
        <f>INDEX(Données!$F$2:$L$54,MATCH(F90,Données!$F$2:$F$54,0),2)</f>
        <v>43920</v>
      </c>
      <c r="D90" s="29" t="str">
        <f t="shared" si="2"/>
        <v>#2</v>
      </c>
      <c r="E90" s="7">
        <f>Données!K15</f>
        <v>43924</v>
      </c>
      <c r="F90" s="6" t="str">
        <f>INDEX(Données!$F$2:$L$54,MATCH('#2'!E90,Données!$G$2:$G$54,1),1)</f>
        <v>14</v>
      </c>
      <c r="G90" s="18" t="str">
        <f t="shared" si="3"/>
        <v>PS-2</v>
      </c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1"/>
      <c r="W90" s="75"/>
      <c r="X90" s="75"/>
      <c r="Y90" s="75"/>
      <c r="Z90" s="96">
        <f>SUM(Tableau14[[#This Row],[A-1]:[G-5]])</f>
        <v>0</v>
      </c>
      <c r="AA90" s="96" t="str">
        <f>IF(AND(Z90&gt;0,Tableau14[[#This Row],[CDS]]=""),"Oui","Non")</f>
        <v>Non</v>
      </c>
      <c r="AB90" s="75"/>
      <c r="AC90" s="75"/>
      <c r="AD90" s="75"/>
      <c r="AE90" s="75"/>
      <c r="AF90" s="75"/>
      <c r="AG90" s="75"/>
      <c r="AH90" s="75"/>
      <c r="AI90" s="75"/>
      <c r="AJ90" s="81"/>
      <c r="AK90" s="75"/>
      <c r="AL90" s="75"/>
    </row>
    <row r="91" spans="1:38" ht="15.75" hidden="1" thickBot="1" x14ac:dyDescent="0.3">
      <c r="A91" s="75"/>
      <c r="B91" s="75"/>
      <c r="C91" s="35">
        <f>INDEX(Données!$F$2:$L$54,MATCH(F91,Données!$F$2:$F$54,0),2)</f>
        <v>43920</v>
      </c>
      <c r="D91" s="29" t="str">
        <f t="shared" si="2"/>
        <v>#2</v>
      </c>
      <c r="E91" s="7">
        <f>Données!L15</f>
        <v>43925</v>
      </c>
      <c r="F91" s="6" t="str">
        <f>INDEX(Données!$F$2:$L$54,MATCH('#2'!E91,Données!$G$2:$G$54,1),1)</f>
        <v>14</v>
      </c>
      <c r="G91" s="18" t="str">
        <f t="shared" si="3"/>
        <v>PS-2</v>
      </c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1"/>
      <c r="W91" s="75"/>
      <c r="X91" s="75"/>
      <c r="Y91" s="75"/>
      <c r="Z91" s="96">
        <f>SUM(Tableau14[[#This Row],[A-1]:[G-5]])</f>
        <v>0</v>
      </c>
      <c r="AA91" s="96" t="str">
        <f>IF(AND(Z91&gt;0,Tableau14[[#This Row],[CDS]]=""),"Oui","Non")</f>
        <v>Non</v>
      </c>
      <c r="AB91" s="75"/>
      <c r="AC91" s="75"/>
      <c r="AD91" s="75"/>
      <c r="AE91" s="75"/>
      <c r="AF91" s="75"/>
      <c r="AG91" s="75"/>
      <c r="AH91" s="75"/>
      <c r="AI91" s="75"/>
      <c r="AJ91" s="81"/>
      <c r="AK91" s="75"/>
      <c r="AL91" s="75"/>
    </row>
    <row r="92" spans="1:38" ht="15.75" hidden="1" thickBot="1" x14ac:dyDescent="0.3">
      <c r="A92" s="75"/>
      <c r="B92" s="75"/>
      <c r="C92" s="35">
        <f>INDEX(Données!$F$2:$L$54,MATCH(F92,Données!$F$2:$F$54,0),2)</f>
        <v>43927</v>
      </c>
      <c r="D92" s="29" t="str">
        <f t="shared" si="2"/>
        <v>#2</v>
      </c>
      <c r="E92" s="7">
        <f>Données!G16</f>
        <v>43927</v>
      </c>
      <c r="F92" s="6" t="str">
        <f>INDEX(Données!$F$2:$L$54,MATCH('#2'!E92,Données!$G$2:$G$54,1),1)</f>
        <v>15</v>
      </c>
      <c r="G92" s="18" t="str">
        <f t="shared" si="3"/>
        <v>PS-2</v>
      </c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1"/>
      <c r="W92" s="75"/>
      <c r="X92" s="75"/>
      <c r="Y92" s="75"/>
      <c r="Z92" s="96">
        <f>SUM(Tableau14[[#This Row],[A-1]:[G-5]])</f>
        <v>0</v>
      </c>
      <c r="AA92" s="96" t="str">
        <f>IF(AND(Z92&gt;0,Tableau14[[#This Row],[CDS]]=""),"Oui","Non")</f>
        <v>Non</v>
      </c>
      <c r="AB92" s="75"/>
      <c r="AC92" s="75"/>
      <c r="AD92" s="75"/>
      <c r="AE92" s="75"/>
      <c r="AF92" s="75"/>
      <c r="AG92" s="75"/>
      <c r="AH92" s="75"/>
      <c r="AI92" s="75"/>
      <c r="AJ92" s="81"/>
      <c r="AK92" s="75"/>
      <c r="AL92" s="75"/>
    </row>
    <row r="93" spans="1:38" ht="15.75" hidden="1" thickBot="1" x14ac:dyDescent="0.3">
      <c r="A93" s="75"/>
      <c r="B93" s="75"/>
      <c r="C93" s="35">
        <f>INDEX(Données!$F$2:$L$54,MATCH(F93,Données!$F$2:$F$54,0),2)</f>
        <v>43927</v>
      </c>
      <c r="D93" s="29" t="str">
        <f t="shared" si="2"/>
        <v>#2</v>
      </c>
      <c r="E93" s="7">
        <f>Données!H16</f>
        <v>43928</v>
      </c>
      <c r="F93" s="6" t="str">
        <f>INDEX(Données!$F$2:$L$54,MATCH('#2'!E93,Données!$G$2:$G$54,1),1)</f>
        <v>15</v>
      </c>
      <c r="G93" s="18" t="str">
        <f t="shared" si="3"/>
        <v>PS-2</v>
      </c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1"/>
      <c r="W93" s="75"/>
      <c r="X93" s="75"/>
      <c r="Y93" s="75"/>
      <c r="Z93" s="96">
        <f>SUM(Tableau14[[#This Row],[A-1]:[G-5]])</f>
        <v>0</v>
      </c>
      <c r="AA93" s="96" t="str">
        <f>IF(AND(Z93&gt;0,Tableau14[[#This Row],[CDS]]=""),"Oui","Non")</f>
        <v>Non</v>
      </c>
      <c r="AB93" s="75"/>
      <c r="AC93" s="75"/>
      <c r="AD93" s="75"/>
      <c r="AE93" s="75"/>
      <c r="AF93" s="75"/>
      <c r="AG93" s="75"/>
      <c r="AH93" s="75"/>
      <c r="AI93" s="75"/>
      <c r="AJ93" s="81"/>
      <c r="AK93" s="75"/>
      <c r="AL93" s="75"/>
    </row>
    <row r="94" spans="1:38" ht="15.75" hidden="1" thickBot="1" x14ac:dyDescent="0.3">
      <c r="A94" s="75"/>
      <c r="B94" s="75"/>
      <c r="C94" s="35">
        <f>INDEX(Données!$F$2:$L$54,MATCH(F94,Données!$F$2:$F$54,0),2)</f>
        <v>43927</v>
      </c>
      <c r="D94" s="29" t="str">
        <f t="shared" si="2"/>
        <v>#2</v>
      </c>
      <c r="E94" s="7">
        <f>Données!I16</f>
        <v>43929</v>
      </c>
      <c r="F94" s="6" t="str">
        <f>INDEX(Données!$F$2:$L$54,MATCH('#2'!E94,Données!$G$2:$G$54,1),1)</f>
        <v>15</v>
      </c>
      <c r="G94" s="18" t="str">
        <f t="shared" si="3"/>
        <v>PS-2</v>
      </c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1"/>
      <c r="W94" s="75"/>
      <c r="X94" s="75"/>
      <c r="Y94" s="75"/>
      <c r="Z94" s="96">
        <f>SUM(Tableau14[[#This Row],[A-1]:[G-5]])</f>
        <v>0</v>
      </c>
      <c r="AA94" s="96" t="str">
        <f>IF(AND(Z94&gt;0,Tableau14[[#This Row],[CDS]]=""),"Oui","Non")</f>
        <v>Non</v>
      </c>
      <c r="AB94" s="75"/>
      <c r="AC94" s="75"/>
      <c r="AD94" s="75"/>
      <c r="AE94" s="75"/>
      <c r="AF94" s="75"/>
      <c r="AG94" s="75"/>
      <c r="AH94" s="75"/>
      <c r="AI94" s="75"/>
      <c r="AJ94" s="81"/>
      <c r="AK94" s="75"/>
      <c r="AL94" s="75"/>
    </row>
    <row r="95" spans="1:38" ht="15.75" hidden="1" thickBot="1" x14ac:dyDescent="0.3">
      <c r="A95" s="75"/>
      <c r="B95" s="75"/>
      <c r="C95" s="35">
        <f>INDEX(Données!$F$2:$L$54,MATCH(F95,Données!$F$2:$F$54,0),2)</f>
        <v>43927</v>
      </c>
      <c r="D95" s="29" t="str">
        <f t="shared" si="2"/>
        <v>#2</v>
      </c>
      <c r="E95" s="7">
        <f>Données!J16</f>
        <v>43930</v>
      </c>
      <c r="F95" s="6" t="str">
        <f>INDEX(Données!$F$2:$L$54,MATCH('#2'!E95,Données!$G$2:$G$54,1),1)</f>
        <v>15</v>
      </c>
      <c r="G95" s="18" t="str">
        <f t="shared" si="3"/>
        <v>PS-2</v>
      </c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1"/>
      <c r="W95" s="75"/>
      <c r="X95" s="75"/>
      <c r="Y95" s="75"/>
      <c r="Z95" s="96">
        <f>SUM(Tableau14[[#This Row],[A-1]:[G-5]])</f>
        <v>0</v>
      </c>
      <c r="AA95" s="96" t="str">
        <f>IF(AND(Z95&gt;0,Tableau14[[#This Row],[CDS]]=""),"Oui","Non")</f>
        <v>Non</v>
      </c>
      <c r="AB95" s="75"/>
      <c r="AC95" s="75"/>
      <c r="AD95" s="75"/>
      <c r="AE95" s="75"/>
      <c r="AF95" s="75"/>
      <c r="AG95" s="75"/>
      <c r="AH95" s="75"/>
      <c r="AI95" s="75"/>
      <c r="AJ95" s="81"/>
      <c r="AK95" s="75"/>
      <c r="AL95" s="75"/>
    </row>
    <row r="96" spans="1:38" ht="15.75" hidden="1" thickBot="1" x14ac:dyDescent="0.3">
      <c r="A96" s="75"/>
      <c r="B96" s="75"/>
      <c r="C96" s="35">
        <f>INDEX(Données!$F$2:$L$54,MATCH(F96,Données!$F$2:$F$54,0),2)</f>
        <v>43927</v>
      </c>
      <c r="D96" s="29" t="str">
        <f t="shared" si="2"/>
        <v>#2</v>
      </c>
      <c r="E96" s="7">
        <f>Données!K16</f>
        <v>43931</v>
      </c>
      <c r="F96" s="6" t="str">
        <f>INDEX(Données!$F$2:$L$54,MATCH('#2'!E96,Données!$G$2:$G$54,1),1)</f>
        <v>15</v>
      </c>
      <c r="G96" s="18" t="str">
        <f t="shared" si="3"/>
        <v>PS-2</v>
      </c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1"/>
      <c r="W96" s="75"/>
      <c r="X96" s="75"/>
      <c r="Y96" s="75"/>
      <c r="Z96" s="96">
        <f>SUM(Tableau14[[#This Row],[A-1]:[G-5]])</f>
        <v>0</v>
      </c>
      <c r="AA96" s="96" t="str">
        <f>IF(AND(Z96&gt;0,Tableau14[[#This Row],[CDS]]=""),"Oui","Non")</f>
        <v>Non</v>
      </c>
      <c r="AB96" s="75"/>
      <c r="AC96" s="75"/>
      <c r="AD96" s="75"/>
      <c r="AE96" s="75"/>
      <c r="AF96" s="75"/>
      <c r="AG96" s="75"/>
      <c r="AH96" s="75"/>
      <c r="AI96" s="75"/>
      <c r="AJ96" s="81"/>
      <c r="AK96" s="75"/>
      <c r="AL96" s="75"/>
    </row>
    <row r="97" spans="1:38" ht="15.75" hidden="1" thickBot="1" x14ac:dyDescent="0.3">
      <c r="A97" s="75"/>
      <c r="B97" s="75"/>
      <c r="C97" s="35">
        <f>INDEX(Données!$F$2:$L$54,MATCH(F97,Données!$F$2:$F$54,0),2)</f>
        <v>43927</v>
      </c>
      <c r="D97" s="29" t="str">
        <f t="shared" si="2"/>
        <v>#2</v>
      </c>
      <c r="E97" s="7">
        <f>Données!L16</f>
        <v>43932</v>
      </c>
      <c r="F97" s="6" t="str">
        <f>INDEX(Données!$F$2:$L$54,MATCH('#2'!E97,Données!$G$2:$G$54,1),1)</f>
        <v>15</v>
      </c>
      <c r="G97" s="18" t="str">
        <f t="shared" si="3"/>
        <v>PS-2</v>
      </c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1"/>
      <c r="W97" s="75"/>
      <c r="X97" s="75"/>
      <c r="Y97" s="75"/>
      <c r="Z97" s="96">
        <f>SUM(Tableau14[[#This Row],[A-1]:[G-5]])</f>
        <v>0</v>
      </c>
      <c r="AA97" s="96" t="str">
        <f>IF(AND(Z97&gt;0,Tableau14[[#This Row],[CDS]]=""),"Oui","Non")</f>
        <v>Non</v>
      </c>
      <c r="AB97" s="75"/>
      <c r="AC97" s="75"/>
      <c r="AD97" s="75"/>
      <c r="AE97" s="75"/>
      <c r="AF97" s="75"/>
      <c r="AG97" s="75"/>
      <c r="AH97" s="75"/>
      <c r="AI97" s="75"/>
      <c r="AJ97" s="81"/>
      <c r="AK97" s="75"/>
      <c r="AL97" s="75"/>
    </row>
    <row r="98" spans="1:38" ht="15.75" hidden="1" thickBot="1" x14ac:dyDescent="0.3">
      <c r="A98" s="75"/>
      <c r="B98" s="75"/>
      <c r="C98" s="35">
        <f>INDEX(Données!$F$2:$L$54,MATCH(F98,Données!$F$2:$F$54,0),2)</f>
        <v>43934</v>
      </c>
      <c r="D98" s="29" t="str">
        <f t="shared" si="2"/>
        <v>#2</v>
      </c>
      <c r="E98" s="7">
        <f>Données!G17</f>
        <v>43934</v>
      </c>
      <c r="F98" s="6" t="str">
        <f>INDEX(Données!$F$2:$L$54,MATCH('#2'!E98,Données!$G$2:$G$54,1),1)</f>
        <v>16</v>
      </c>
      <c r="G98" s="18" t="str">
        <f t="shared" si="3"/>
        <v>PS-2</v>
      </c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1"/>
      <c r="W98" s="75"/>
      <c r="X98" s="75"/>
      <c r="Y98" s="75"/>
      <c r="Z98" s="96">
        <f>SUM(Tableau14[[#This Row],[A-1]:[G-5]])</f>
        <v>0</v>
      </c>
      <c r="AA98" s="96" t="str">
        <f>IF(AND(Z98&gt;0,Tableau14[[#This Row],[CDS]]=""),"Oui","Non")</f>
        <v>Non</v>
      </c>
      <c r="AB98" s="75"/>
      <c r="AC98" s="75"/>
      <c r="AD98" s="75"/>
      <c r="AE98" s="75"/>
      <c r="AF98" s="75"/>
      <c r="AG98" s="75"/>
      <c r="AH98" s="75"/>
      <c r="AI98" s="75"/>
      <c r="AJ98" s="81"/>
      <c r="AK98" s="75"/>
      <c r="AL98" s="75"/>
    </row>
    <row r="99" spans="1:38" ht="15.75" hidden="1" thickBot="1" x14ac:dyDescent="0.3">
      <c r="A99" s="75"/>
      <c r="B99" s="75"/>
      <c r="C99" s="35">
        <f>INDEX(Données!$F$2:$L$54,MATCH(F99,Données!$F$2:$F$54,0),2)</f>
        <v>43934</v>
      </c>
      <c r="D99" s="29" t="str">
        <f t="shared" si="2"/>
        <v>#2</v>
      </c>
      <c r="E99" s="7">
        <f>Données!H17</f>
        <v>43935</v>
      </c>
      <c r="F99" s="6" t="str">
        <f>INDEX(Données!$F$2:$L$54,MATCH('#2'!E99,Données!$G$2:$G$54,1),1)</f>
        <v>16</v>
      </c>
      <c r="G99" s="18" t="str">
        <f t="shared" si="3"/>
        <v>PS-2</v>
      </c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1"/>
      <c r="W99" s="75"/>
      <c r="X99" s="75"/>
      <c r="Y99" s="75"/>
      <c r="Z99" s="96">
        <f>SUM(Tableau14[[#This Row],[A-1]:[G-5]])</f>
        <v>0</v>
      </c>
      <c r="AA99" s="96" t="str">
        <f>IF(AND(Z99&gt;0,Tableau14[[#This Row],[CDS]]=""),"Oui","Non")</f>
        <v>Non</v>
      </c>
      <c r="AB99" s="75"/>
      <c r="AC99" s="75"/>
      <c r="AD99" s="75"/>
      <c r="AE99" s="75"/>
      <c r="AF99" s="75"/>
      <c r="AG99" s="75"/>
      <c r="AH99" s="75"/>
      <c r="AI99" s="75"/>
      <c r="AJ99" s="81"/>
      <c r="AK99" s="75"/>
      <c r="AL99" s="75"/>
    </row>
    <row r="100" spans="1:38" ht="15.75" hidden="1" thickBot="1" x14ac:dyDescent="0.3">
      <c r="A100" s="75"/>
      <c r="B100" s="75"/>
      <c r="C100" s="35">
        <f>INDEX(Données!$F$2:$L$54,MATCH(F100,Données!$F$2:$F$54,0),2)</f>
        <v>43934</v>
      </c>
      <c r="D100" s="29" t="str">
        <f t="shared" si="2"/>
        <v>#2</v>
      </c>
      <c r="E100" s="7">
        <f>Données!I17</f>
        <v>43936</v>
      </c>
      <c r="F100" s="6" t="str">
        <f>INDEX(Données!$F$2:$L$54,MATCH('#2'!E100,Données!$G$2:$G$54,1),1)</f>
        <v>16</v>
      </c>
      <c r="G100" s="18" t="str">
        <f t="shared" si="3"/>
        <v>PS-2</v>
      </c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1"/>
      <c r="W100" s="75"/>
      <c r="X100" s="75"/>
      <c r="Y100" s="75"/>
      <c r="Z100" s="96">
        <f>SUM(Tableau14[[#This Row],[A-1]:[G-5]])</f>
        <v>0</v>
      </c>
      <c r="AA100" s="96" t="str">
        <f>IF(AND(Z100&gt;0,Tableau14[[#This Row],[CDS]]=""),"Oui","Non")</f>
        <v>Non</v>
      </c>
      <c r="AB100" s="75"/>
      <c r="AC100" s="75"/>
      <c r="AD100" s="75"/>
      <c r="AE100" s="75"/>
      <c r="AF100" s="75"/>
      <c r="AG100" s="75"/>
      <c r="AH100" s="75"/>
      <c r="AI100" s="75"/>
      <c r="AJ100" s="81"/>
      <c r="AK100" s="75"/>
      <c r="AL100" s="75"/>
    </row>
    <row r="101" spans="1:38" ht="15.75" hidden="1" thickBot="1" x14ac:dyDescent="0.3">
      <c r="A101" s="75"/>
      <c r="B101" s="75"/>
      <c r="C101" s="35">
        <f>INDEX(Données!$F$2:$L$54,MATCH(F101,Données!$F$2:$F$54,0),2)</f>
        <v>43934</v>
      </c>
      <c r="D101" s="29" t="str">
        <f t="shared" si="2"/>
        <v>#2</v>
      </c>
      <c r="E101" s="7">
        <f>Données!J17</f>
        <v>43937</v>
      </c>
      <c r="F101" s="6" t="str">
        <f>INDEX(Données!$F$2:$L$54,MATCH('#2'!E101,Données!$G$2:$G$54,1),1)</f>
        <v>16</v>
      </c>
      <c r="G101" s="18" t="str">
        <f t="shared" si="3"/>
        <v>PS-2</v>
      </c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1"/>
      <c r="W101" s="75"/>
      <c r="X101" s="75"/>
      <c r="Y101" s="75"/>
      <c r="Z101" s="96">
        <f>SUM(Tableau14[[#This Row],[A-1]:[G-5]])</f>
        <v>0</v>
      </c>
      <c r="AA101" s="96" t="str">
        <f>IF(AND(Z101&gt;0,Tableau14[[#This Row],[CDS]]=""),"Oui","Non")</f>
        <v>Non</v>
      </c>
      <c r="AB101" s="75"/>
      <c r="AC101" s="75"/>
      <c r="AD101" s="75"/>
      <c r="AE101" s="75"/>
      <c r="AF101" s="75"/>
      <c r="AG101" s="75"/>
      <c r="AH101" s="75"/>
      <c r="AI101" s="75"/>
      <c r="AJ101" s="81"/>
      <c r="AK101" s="75"/>
      <c r="AL101" s="75"/>
    </row>
    <row r="102" spans="1:38" ht="15.75" hidden="1" thickBot="1" x14ac:dyDescent="0.3">
      <c r="A102" s="75"/>
      <c r="B102" s="75"/>
      <c r="C102" s="35">
        <f>INDEX(Données!$F$2:$L$54,MATCH(F102,Données!$F$2:$F$54,0),2)</f>
        <v>43934</v>
      </c>
      <c r="D102" s="29" t="str">
        <f t="shared" si="2"/>
        <v>#2</v>
      </c>
      <c r="E102" s="7">
        <f>Données!K17</f>
        <v>43938</v>
      </c>
      <c r="F102" s="6" t="str">
        <f>INDEX(Données!$F$2:$L$54,MATCH('#2'!E102,Données!$G$2:$G$54,1),1)</f>
        <v>16</v>
      </c>
      <c r="G102" s="18" t="str">
        <f t="shared" si="3"/>
        <v>PS-2</v>
      </c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1"/>
      <c r="W102" s="75"/>
      <c r="X102" s="75"/>
      <c r="Y102" s="75"/>
      <c r="Z102" s="96">
        <f>SUM(Tableau14[[#This Row],[A-1]:[G-5]])</f>
        <v>0</v>
      </c>
      <c r="AA102" s="96" t="str">
        <f>IF(AND(Z102&gt;0,Tableau14[[#This Row],[CDS]]=""),"Oui","Non")</f>
        <v>Non</v>
      </c>
      <c r="AB102" s="75"/>
      <c r="AC102" s="75"/>
      <c r="AD102" s="75"/>
      <c r="AE102" s="75"/>
      <c r="AF102" s="75"/>
      <c r="AG102" s="75"/>
      <c r="AH102" s="75"/>
      <c r="AI102" s="75"/>
      <c r="AJ102" s="81"/>
      <c r="AK102" s="75"/>
      <c r="AL102" s="75"/>
    </row>
    <row r="103" spans="1:38" ht="15.75" hidden="1" thickBot="1" x14ac:dyDescent="0.3">
      <c r="A103" s="75"/>
      <c r="B103" s="75"/>
      <c r="C103" s="35">
        <f>INDEX(Données!$F$2:$L$54,MATCH(F103,Données!$F$2:$F$54,0),2)</f>
        <v>43934</v>
      </c>
      <c r="D103" s="29" t="str">
        <f t="shared" si="2"/>
        <v>#2</v>
      </c>
      <c r="E103" s="7">
        <f>Données!L17</f>
        <v>43939</v>
      </c>
      <c r="F103" s="6" t="str">
        <f>INDEX(Données!$F$2:$L$54,MATCH('#2'!E103,Données!$G$2:$G$54,1),1)</f>
        <v>16</v>
      </c>
      <c r="G103" s="18" t="str">
        <f t="shared" si="3"/>
        <v>PS-2</v>
      </c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1"/>
      <c r="W103" s="75"/>
      <c r="X103" s="75"/>
      <c r="Y103" s="75"/>
      <c r="Z103" s="96">
        <f>SUM(Tableau14[[#This Row],[A-1]:[G-5]])</f>
        <v>0</v>
      </c>
      <c r="AA103" s="96" t="str">
        <f>IF(AND(Z103&gt;0,Tableau14[[#This Row],[CDS]]=""),"Oui","Non")</f>
        <v>Non</v>
      </c>
      <c r="AB103" s="75"/>
      <c r="AC103" s="75"/>
      <c r="AD103" s="75"/>
      <c r="AE103" s="75"/>
      <c r="AF103" s="75"/>
      <c r="AG103" s="75"/>
      <c r="AH103" s="75"/>
      <c r="AI103" s="75"/>
      <c r="AJ103" s="81"/>
      <c r="AK103" s="75"/>
      <c r="AL103" s="75"/>
    </row>
    <row r="104" spans="1:38" ht="15.75" hidden="1" thickBot="1" x14ac:dyDescent="0.3">
      <c r="A104" s="75"/>
      <c r="B104" s="75"/>
      <c r="C104" s="35">
        <f>INDEX(Données!$F$2:$L$54,MATCH(F104,Données!$F$2:$F$54,0),2)</f>
        <v>43941</v>
      </c>
      <c r="D104" s="29" t="str">
        <f t="shared" si="2"/>
        <v>#2</v>
      </c>
      <c r="E104" s="7">
        <f>Données!G18</f>
        <v>43941</v>
      </c>
      <c r="F104" s="6" t="str">
        <f>INDEX(Données!$F$2:$L$54,MATCH('#2'!E104,Données!$G$2:$G$54,1),1)</f>
        <v>17</v>
      </c>
      <c r="G104" s="18" t="str">
        <f t="shared" si="3"/>
        <v>PS-2</v>
      </c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1"/>
      <c r="W104" s="75"/>
      <c r="X104" s="75"/>
      <c r="Y104" s="75"/>
      <c r="Z104" s="96">
        <f>SUM(Tableau14[[#This Row],[A-1]:[G-5]])</f>
        <v>0</v>
      </c>
      <c r="AA104" s="96" t="str">
        <f>IF(AND(Z104&gt;0,Tableau14[[#This Row],[CDS]]=""),"Oui","Non")</f>
        <v>Non</v>
      </c>
      <c r="AB104" s="75"/>
      <c r="AC104" s="75"/>
      <c r="AD104" s="75"/>
      <c r="AE104" s="75"/>
      <c r="AF104" s="75"/>
      <c r="AG104" s="75"/>
      <c r="AH104" s="75"/>
      <c r="AI104" s="75"/>
      <c r="AJ104" s="81"/>
      <c r="AK104" s="75"/>
      <c r="AL104" s="75"/>
    </row>
    <row r="105" spans="1:38" ht="15.75" hidden="1" thickBot="1" x14ac:dyDescent="0.3">
      <c r="A105" s="75"/>
      <c r="B105" s="75"/>
      <c r="C105" s="35">
        <f>INDEX(Données!$F$2:$L$54,MATCH(F105,Données!$F$2:$F$54,0),2)</f>
        <v>43941</v>
      </c>
      <c r="D105" s="29" t="str">
        <f t="shared" si="2"/>
        <v>#2</v>
      </c>
      <c r="E105" s="7">
        <f>Données!H18</f>
        <v>43942</v>
      </c>
      <c r="F105" s="6" t="str">
        <f>INDEX(Données!$F$2:$L$54,MATCH('#2'!E105,Données!$G$2:$G$54,1),1)</f>
        <v>17</v>
      </c>
      <c r="G105" s="18" t="str">
        <f t="shared" si="3"/>
        <v>PS-2</v>
      </c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1"/>
      <c r="W105" s="75"/>
      <c r="X105" s="75"/>
      <c r="Y105" s="75"/>
      <c r="Z105" s="96">
        <f>SUM(Tableau14[[#This Row],[A-1]:[G-5]])</f>
        <v>0</v>
      </c>
      <c r="AA105" s="96" t="str">
        <f>IF(AND(Z105&gt;0,Tableau14[[#This Row],[CDS]]=""),"Oui","Non")</f>
        <v>Non</v>
      </c>
      <c r="AB105" s="75"/>
      <c r="AC105" s="75"/>
      <c r="AD105" s="75"/>
      <c r="AE105" s="75"/>
      <c r="AF105" s="75"/>
      <c r="AG105" s="75"/>
      <c r="AH105" s="75"/>
      <c r="AI105" s="75"/>
      <c r="AJ105" s="81"/>
      <c r="AK105" s="75"/>
      <c r="AL105" s="75"/>
    </row>
    <row r="106" spans="1:38" ht="15.75" hidden="1" thickBot="1" x14ac:dyDescent="0.3">
      <c r="A106" s="75"/>
      <c r="B106" s="75"/>
      <c r="C106" s="35">
        <f>INDEX(Données!$F$2:$L$54,MATCH(F106,Données!$F$2:$F$54,0),2)</f>
        <v>43941</v>
      </c>
      <c r="D106" s="29" t="str">
        <f t="shared" si="2"/>
        <v>#2</v>
      </c>
      <c r="E106" s="7">
        <f>Données!I18</f>
        <v>43943</v>
      </c>
      <c r="F106" s="6" t="str">
        <f>INDEX(Données!$F$2:$L$54,MATCH('#2'!E106,Données!$G$2:$G$54,1),1)</f>
        <v>17</v>
      </c>
      <c r="G106" s="18" t="str">
        <f t="shared" si="3"/>
        <v>PS-2</v>
      </c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1"/>
      <c r="W106" s="75"/>
      <c r="X106" s="75"/>
      <c r="Y106" s="75"/>
      <c r="Z106" s="96">
        <f>SUM(Tableau14[[#This Row],[A-1]:[G-5]])</f>
        <v>0</v>
      </c>
      <c r="AA106" s="96" t="str">
        <f>IF(AND(Z106&gt;0,Tableau14[[#This Row],[CDS]]=""),"Oui","Non")</f>
        <v>Non</v>
      </c>
      <c r="AB106" s="75"/>
      <c r="AC106" s="75"/>
      <c r="AD106" s="75"/>
      <c r="AE106" s="75"/>
      <c r="AF106" s="75"/>
      <c r="AG106" s="75"/>
      <c r="AH106" s="75"/>
      <c r="AI106" s="75"/>
      <c r="AJ106" s="81"/>
      <c r="AK106" s="75"/>
      <c r="AL106" s="75"/>
    </row>
    <row r="107" spans="1:38" ht="15.75" hidden="1" thickBot="1" x14ac:dyDescent="0.3">
      <c r="A107" s="75"/>
      <c r="B107" s="75"/>
      <c r="C107" s="35">
        <f>INDEX(Données!$F$2:$L$54,MATCH(F107,Données!$F$2:$F$54,0),2)</f>
        <v>43941</v>
      </c>
      <c r="D107" s="29" t="str">
        <f t="shared" si="2"/>
        <v>#2</v>
      </c>
      <c r="E107" s="7">
        <f>Données!J18</f>
        <v>43944</v>
      </c>
      <c r="F107" s="6" t="str">
        <f>INDEX(Données!$F$2:$L$54,MATCH('#2'!E107,Données!$G$2:$G$54,1),1)</f>
        <v>17</v>
      </c>
      <c r="G107" s="18" t="str">
        <f t="shared" si="3"/>
        <v>PS-2</v>
      </c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1"/>
      <c r="W107" s="75"/>
      <c r="X107" s="75"/>
      <c r="Y107" s="75"/>
      <c r="Z107" s="96">
        <f>SUM(Tableau14[[#This Row],[A-1]:[G-5]])</f>
        <v>0</v>
      </c>
      <c r="AA107" s="96" t="str">
        <f>IF(AND(Z107&gt;0,Tableau14[[#This Row],[CDS]]=""),"Oui","Non")</f>
        <v>Non</v>
      </c>
      <c r="AB107" s="75"/>
      <c r="AC107" s="75"/>
      <c r="AD107" s="75"/>
      <c r="AE107" s="75"/>
      <c r="AF107" s="75"/>
      <c r="AG107" s="75"/>
      <c r="AH107" s="75"/>
      <c r="AI107" s="75"/>
      <c r="AJ107" s="81"/>
      <c r="AK107" s="75"/>
      <c r="AL107" s="75"/>
    </row>
    <row r="108" spans="1:38" ht="15.75" hidden="1" thickBot="1" x14ac:dyDescent="0.3">
      <c r="A108" s="75"/>
      <c r="B108" s="75"/>
      <c r="C108" s="35">
        <f>INDEX(Données!$F$2:$L$54,MATCH(F108,Données!$F$2:$F$54,0),2)</f>
        <v>43941</v>
      </c>
      <c r="D108" s="29" t="str">
        <f t="shared" si="2"/>
        <v>#2</v>
      </c>
      <c r="E108" s="7">
        <f>Données!K18</f>
        <v>43945</v>
      </c>
      <c r="F108" s="6" t="str">
        <f>INDEX(Données!$F$2:$L$54,MATCH('#2'!E108,Données!$G$2:$G$54,1),1)</f>
        <v>17</v>
      </c>
      <c r="G108" s="18" t="str">
        <f t="shared" si="3"/>
        <v>PS-2</v>
      </c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1"/>
      <c r="W108" s="75"/>
      <c r="X108" s="75"/>
      <c r="Y108" s="75"/>
      <c r="Z108" s="96">
        <f>SUM(Tableau14[[#This Row],[A-1]:[G-5]])</f>
        <v>0</v>
      </c>
      <c r="AA108" s="96" t="str">
        <f>IF(AND(Z108&gt;0,Tableau14[[#This Row],[CDS]]=""),"Oui","Non")</f>
        <v>Non</v>
      </c>
      <c r="AB108" s="75"/>
      <c r="AC108" s="75"/>
      <c r="AD108" s="75"/>
      <c r="AE108" s="75"/>
      <c r="AF108" s="75"/>
      <c r="AG108" s="75"/>
      <c r="AH108" s="75"/>
      <c r="AI108" s="75"/>
      <c r="AJ108" s="81"/>
      <c r="AK108" s="75"/>
      <c r="AL108" s="75"/>
    </row>
    <row r="109" spans="1:38" ht="15.75" hidden="1" thickBot="1" x14ac:dyDescent="0.3">
      <c r="A109" s="75"/>
      <c r="B109" s="75"/>
      <c r="C109" s="35">
        <f>INDEX(Données!$F$2:$L$54,MATCH(F109,Données!$F$2:$F$54,0),2)</f>
        <v>43941</v>
      </c>
      <c r="D109" s="29" t="str">
        <f t="shared" si="2"/>
        <v>#2</v>
      </c>
      <c r="E109" s="7">
        <f>Données!L18</f>
        <v>43946</v>
      </c>
      <c r="F109" s="6" t="str">
        <f>INDEX(Données!$F$2:$L$54,MATCH('#2'!E109,Données!$G$2:$G$54,1),1)</f>
        <v>17</v>
      </c>
      <c r="G109" s="18" t="str">
        <f t="shared" si="3"/>
        <v>PS-2</v>
      </c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1"/>
      <c r="W109" s="75"/>
      <c r="X109" s="75"/>
      <c r="Y109" s="75"/>
      <c r="Z109" s="96">
        <f>SUM(Tableau14[[#This Row],[A-1]:[G-5]])</f>
        <v>0</v>
      </c>
      <c r="AA109" s="96" t="str">
        <f>IF(AND(Z109&gt;0,Tableau14[[#This Row],[CDS]]=""),"Oui","Non")</f>
        <v>Non</v>
      </c>
      <c r="AB109" s="75"/>
      <c r="AC109" s="75"/>
      <c r="AD109" s="75"/>
      <c r="AE109" s="75"/>
      <c r="AF109" s="75"/>
      <c r="AG109" s="75"/>
      <c r="AH109" s="75"/>
      <c r="AI109" s="75"/>
      <c r="AJ109" s="81"/>
      <c r="AK109" s="75"/>
      <c r="AL109" s="75"/>
    </row>
    <row r="110" spans="1:38" ht="15.75" hidden="1" thickBot="1" x14ac:dyDescent="0.3">
      <c r="A110" s="75"/>
      <c r="B110" s="75"/>
      <c r="C110" s="35">
        <f>INDEX(Données!$F$2:$L$54,MATCH(F110,Données!$F$2:$F$54,0),2)</f>
        <v>43948</v>
      </c>
      <c r="D110" s="29" t="str">
        <f t="shared" si="2"/>
        <v>#2</v>
      </c>
      <c r="E110" s="7">
        <f>Données!G19</f>
        <v>43948</v>
      </c>
      <c r="F110" s="6" t="str">
        <f>INDEX(Données!$F$2:$L$54,MATCH('#2'!E110,Données!$G$2:$G$54,1),1)</f>
        <v>18</v>
      </c>
      <c r="G110" s="18" t="str">
        <f t="shared" si="3"/>
        <v>PS-2</v>
      </c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1"/>
      <c r="W110" s="75"/>
      <c r="X110" s="75"/>
      <c r="Y110" s="75"/>
      <c r="Z110" s="96">
        <f>SUM(Tableau14[[#This Row],[A-1]:[G-5]])</f>
        <v>0</v>
      </c>
      <c r="AA110" s="96" t="str">
        <f>IF(AND(Z110&gt;0,Tableau14[[#This Row],[CDS]]=""),"Oui","Non")</f>
        <v>Non</v>
      </c>
      <c r="AB110" s="75"/>
      <c r="AC110" s="75"/>
      <c r="AD110" s="75"/>
      <c r="AE110" s="75"/>
      <c r="AF110" s="75"/>
      <c r="AG110" s="75"/>
      <c r="AH110" s="75"/>
      <c r="AI110" s="75"/>
      <c r="AJ110" s="81"/>
      <c r="AK110" s="75"/>
      <c r="AL110" s="75"/>
    </row>
    <row r="111" spans="1:38" ht="15.75" hidden="1" thickBot="1" x14ac:dyDescent="0.3">
      <c r="A111" s="75"/>
      <c r="B111" s="75"/>
      <c r="C111" s="35">
        <f>INDEX(Données!$F$2:$L$54,MATCH(F111,Données!$F$2:$F$54,0),2)</f>
        <v>43948</v>
      </c>
      <c r="D111" s="29" t="str">
        <f t="shared" si="2"/>
        <v>#2</v>
      </c>
      <c r="E111" s="7">
        <f>Données!H19</f>
        <v>43949</v>
      </c>
      <c r="F111" s="6" t="str">
        <f>INDEX(Données!$F$2:$L$54,MATCH('#2'!E111,Données!$G$2:$G$54,1),1)</f>
        <v>18</v>
      </c>
      <c r="G111" s="18" t="str">
        <f t="shared" si="3"/>
        <v>PS-2</v>
      </c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1"/>
      <c r="W111" s="75"/>
      <c r="X111" s="75"/>
      <c r="Y111" s="75"/>
      <c r="Z111" s="96">
        <f>SUM(Tableau14[[#This Row],[A-1]:[G-5]])</f>
        <v>0</v>
      </c>
      <c r="AA111" s="96" t="str">
        <f>IF(AND(Z111&gt;0,Tableau14[[#This Row],[CDS]]=""),"Oui","Non")</f>
        <v>Non</v>
      </c>
      <c r="AB111" s="75"/>
      <c r="AC111" s="75"/>
      <c r="AD111" s="75"/>
      <c r="AE111" s="75"/>
      <c r="AF111" s="75"/>
      <c r="AG111" s="75"/>
      <c r="AH111" s="75"/>
      <c r="AI111" s="75"/>
      <c r="AJ111" s="81"/>
      <c r="AK111" s="75"/>
      <c r="AL111" s="75"/>
    </row>
    <row r="112" spans="1:38" ht="15.75" hidden="1" thickBot="1" x14ac:dyDescent="0.3">
      <c r="A112" s="75"/>
      <c r="B112" s="75"/>
      <c r="C112" s="35">
        <f>INDEX(Données!$F$2:$L$54,MATCH(F112,Données!$F$2:$F$54,0),2)</f>
        <v>43948</v>
      </c>
      <c r="D112" s="29" t="str">
        <f t="shared" si="2"/>
        <v>#2</v>
      </c>
      <c r="E112" s="7">
        <f>Données!I19</f>
        <v>43950</v>
      </c>
      <c r="F112" s="6" t="str">
        <f>INDEX(Données!$F$2:$L$54,MATCH('#2'!E112,Données!$G$2:$G$54,1),1)</f>
        <v>18</v>
      </c>
      <c r="G112" s="18" t="str">
        <f t="shared" si="3"/>
        <v>PS-2</v>
      </c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1"/>
      <c r="W112" s="75"/>
      <c r="X112" s="75"/>
      <c r="Y112" s="75"/>
      <c r="Z112" s="96">
        <f>SUM(Tableau14[[#This Row],[A-1]:[G-5]])</f>
        <v>0</v>
      </c>
      <c r="AA112" s="96" t="str">
        <f>IF(AND(Z112&gt;0,Tableau14[[#This Row],[CDS]]=""),"Oui","Non")</f>
        <v>Non</v>
      </c>
      <c r="AB112" s="75"/>
      <c r="AC112" s="75"/>
      <c r="AD112" s="75"/>
      <c r="AE112" s="75"/>
      <c r="AF112" s="75"/>
      <c r="AG112" s="75"/>
      <c r="AH112" s="75"/>
      <c r="AI112" s="75"/>
      <c r="AJ112" s="81"/>
      <c r="AK112" s="75"/>
      <c r="AL112" s="75"/>
    </row>
    <row r="113" spans="1:38" ht="15.75" hidden="1" thickBot="1" x14ac:dyDescent="0.3">
      <c r="A113" s="75"/>
      <c r="B113" s="75"/>
      <c r="C113" s="35">
        <f>INDEX(Données!$F$2:$L$54,MATCH(F113,Données!$F$2:$F$54,0),2)</f>
        <v>43948</v>
      </c>
      <c r="D113" s="29" t="str">
        <f t="shared" si="2"/>
        <v>#2</v>
      </c>
      <c r="E113" s="7">
        <f>Données!J19</f>
        <v>43951</v>
      </c>
      <c r="F113" s="6" t="str">
        <f>INDEX(Données!$F$2:$L$54,MATCH('#2'!E113,Données!$G$2:$G$54,1),1)</f>
        <v>18</v>
      </c>
      <c r="G113" s="18" t="str">
        <f t="shared" si="3"/>
        <v>PS-2</v>
      </c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1"/>
      <c r="W113" s="75"/>
      <c r="X113" s="75"/>
      <c r="Y113" s="75"/>
      <c r="Z113" s="96">
        <f>SUM(Tableau14[[#This Row],[A-1]:[G-5]])</f>
        <v>0</v>
      </c>
      <c r="AA113" s="96" t="str">
        <f>IF(AND(Z113&gt;0,Tableau14[[#This Row],[CDS]]=""),"Oui","Non")</f>
        <v>Non</v>
      </c>
      <c r="AB113" s="75"/>
      <c r="AC113" s="75"/>
      <c r="AD113" s="75"/>
      <c r="AE113" s="75"/>
      <c r="AF113" s="75"/>
      <c r="AG113" s="75"/>
      <c r="AH113" s="75"/>
      <c r="AI113" s="75"/>
      <c r="AJ113" s="81"/>
      <c r="AK113" s="75"/>
      <c r="AL113" s="75"/>
    </row>
    <row r="114" spans="1:38" ht="15.75" hidden="1" thickBot="1" x14ac:dyDescent="0.3">
      <c r="A114" s="75"/>
      <c r="B114" s="75"/>
      <c r="C114" s="35">
        <f>INDEX(Données!$F$2:$L$54,MATCH(F114,Données!$F$2:$F$54,0),2)</f>
        <v>43948</v>
      </c>
      <c r="D114" s="29" t="str">
        <f t="shared" si="2"/>
        <v>#2</v>
      </c>
      <c r="E114" s="7">
        <f>Données!K19</f>
        <v>43952</v>
      </c>
      <c r="F114" s="6" t="str">
        <f>INDEX(Données!$F$2:$L$54,MATCH('#2'!E114,Données!$G$2:$G$54,1),1)</f>
        <v>18</v>
      </c>
      <c r="G114" s="18" t="str">
        <f t="shared" si="3"/>
        <v>PS-2</v>
      </c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1"/>
      <c r="W114" s="75"/>
      <c r="X114" s="75"/>
      <c r="Y114" s="75"/>
      <c r="Z114" s="96">
        <f>SUM(Tableau14[[#This Row],[A-1]:[G-5]])</f>
        <v>0</v>
      </c>
      <c r="AA114" s="96" t="str">
        <f>IF(AND(Z114&gt;0,Tableau14[[#This Row],[CDS]]=""),"Oui","Non")</f>
        <v>Non</v>
      </c>
      <c r="AB114" s="75"/>
      <c r="AC114" s="75"/>
      <c r="AD114" s="75"/>
      <c r="AE114" s="75"/>
      <c r="AF114" s="75"/>
      <c r="AG114" s="75"/>
      <c r="AH114" s="75"/>
      <c r="AI114" s="75"/>
      <c r="AJ114" s="81"/>
      <c r="AK114" s="75"/>
      <c r="AL114" s="75"/>
    </row>
    <row r="115" spans="1:38" ht="15.75" hidden="1" thickBot="1" x14ac:dyDescent="0.3">
      <c r="A115" s="75"/>
      <c r="B115" s="75"/>
      <c r="C115" s="35">
        <f>INDEX(Données!$F$2:$L$54,MATCH(F115,Données!$F$2:$F$54,0),2)</f>
        <v>43948</v>
      </c>
      <c r="D115" s="29" t="str">
        <f t="shared" si="2"/>
        <v>#2</v>
      </c>
      <c r="E115" s="7">
        <f>Données!L19</f>
        <v>43953</v>
      </c>
      <c r="F115" s="6" t="str">
        <f>INDEX(Données!$F$2:$L$54,MATCH('#2'!E115,Données!$G$2:$G$54,1),1)</f>
        <v>18</v>
      </c>
      <c r="G115" s="18" t="str">
        <f t="shared" si="3"/>
        <v>PS-2</v>
      </c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1"/>
      <c r="W115" s="75"/>
      <c r="X115" s="75"/>
      <c r="Y115" s="75"/>
      <c r="Z115" s="96">
        <f>SUM(Tableau14[[#This Row],[A-1]:[G-5]])</f>
        <v>0</v>
      </c>
      <c r="AA115" s="96" t="str">
        <f>IF(AND(Z115&gt;0,Tableau14[[#This Row],[CDS]]=""),"Oui","Non")</f>
        <v>Non</v>
      </c>
      <c r="AB115" s="75"/>
      <c r="AC115" s="75"/>
      <c r="AD115" s="75"/>
      <c r="AE115" s="75"/>
      <c r="AF115" s="75"/>
      <c r="AG115" s="75"/>
      <c r="AH115" s="75"/>
      <c r="AI115" s="75"/>
      <c r="AJ115" s="81"/>
      <c r="AK115" s="75"/>
      <c r="AL115" s="75"/>
    </row>
    <row r="116" spans="1:38" ht="15.75" hidden="1" thickBot="1" x14ac:dyDescent="0.3">
      <c r="A116" s="75"/>
      <c r="B116" s="75"/>
      <c r="C116" s="35">
        <f>INDEX(Données!$F$2:$L$54,MATCH(F116,Données!$F$2:$F$54,0),2)</f>
        <v>43955</v>
      </c>
      <c r="D116" s="29" t="str">
        <f t="shared" si="2"/>
        <v>#2</v>
      </c>
      <c r="E116" s="7">
        <f>Données!G20</f>
        <v>43955</v>
      </c>
      <c r="F116" s="6" t="str">
        <f>INDEX(Données!$F$2:$L$54,MATCH('#2'!E116,Données!$G$2:$G$54,1),1)</f>
        <v>19</v>
      </c>
      <c r="G116" s="18" t="str">
        <f t="shared" si="3"/>
        <v>PS-2</v>
      </c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1"/>
      <c r="W116" s="75"/>
      <c r="X116" s="75"/>
      <c r="Y116" s="75"/>
      <c r="Z116" s="96">
        <f>SUM(Tableau14[[#This Row],[A-1]:[G-5]])</f>
        <v>0</v>
      </c>
      <c r="AA116" s="96" t="str">
        <f>IF(AND(Z116&gt;0,Tableau14[[#This Row],[CDS]]=""),"Oui","Non")</f>
        <v>Non</v>
      </c>
      <c r="AB116" s="75"/>
      <c r="AC116" s="75"/>
      <c r="AD116" s="75"/>
      <c r="AE116" s="75"/>
      <c r="AF116" s="75"/>
      <c r="AG116" s="75"/>
      <c r="AH116" s="75"/>
      <c r="AI116" s="75"/>
      <c r="AJ116" s="81"/>
      <c r="AK116" s="75"/>
      <c r="AL116" s="75"/>
    </row>
    <row r="117" spans="1:38" ht="15.75" hidden="1" thickBot="1" x14ac:dyDescent="0.3">
      <c r="A117" s="75"/>
      <c r="B117" s="75"/>
      <c r="C117" s="35">
        <f>INDEX(Données!$F$2:$L$54,MATCH(F117,Données!$F$2:$F$54,0),2)</f>
        <v>43955</v>
      </c>
      <c r="D117" s="29" t="str">
        <f t="shared" si="2"/>
        <v>#2</v>
      </c>
      <c r="E117" s="7">
        <f>Données!H20</f>
        <v>43956</v>
      </c>
      <c r="F117" s="6" t="str">
        <f>INDEX(Données!$F$2:$L$54,MATCH('#2'!E117,Données!$G$2:$G$54,1),1)</f>
        <v>19</v>
      </c>
      <c r="G117" s="18" t="str">
        <f t="shared" si="3"/>
        <v>PS-2</v>
      </c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1"/>
      <c r="W117" s="75"/>
      <c r="X117" s="75"/>
      <c r="Y117" s="75"/>
      <c r="Z117" s="96">
        <f>SUM(Tableau14[[#This Row],[A-1]:[G-5]])</f>
        <v>0</v>
      </c>
      <c r="AA117" s="96" t="str">
        <f>IF(AND(Z117&gt;0,Tableau14[[#This Row],[CDS]]=""),"Oui","Non")</f>
        <v>Non</v>
      </c>
      <c r="AB117" s="75"/>
      <c r="AC117" s="75"/>
      <c r="AD117" s="75"/>
      <c r="AE117" s="75"/>
      <c r="AF117" s="75"/>
      <c r="AG117" s="75"/>
      <c r="AH117" s="75"/>
      <c r="AI117" s="75"/>
      <c r="AJ117" s="81"/>
      <c r="AK117" s="75"/>
      <c r="AL117" s="75"/>
    </row>
    <row r="118" spans="1:38" ht="15.75" hidden="1" thickBot="1" x14ac:dyDescent="0.3">
      <c r="A118" s="75"/>
      <c r="B118" s="75"/>
      <c r="C118" s="35">
        <f>INDEX(Données!$F$2:$L$54,MATCH(F118,Données!$F$2:$F$54,0),2)</f>
        <v>43955</v>
      </c>
      <c r="D118" s="29" t="str">
        <f t="shared" si="2"/>
        <v>#2</v>
      </c>
      <c r="E118" s="7">
        <f>Données!I20</f>
        <v>43957</v>
      </c>
      <c r="F118" s="6" t="str">
        <f>INDEX(Données!$F$2:$L$54,MATCH('#2'!E118,Données!$G$2:$G$54,1),1)</f>
        <v>19</v>
      </c>
      <c r="G118" s="18" t="str">
        <f t="shared" si="3"/>
        <v>PS-2</v>
      </c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1"/>
      <c r="W118" s="75"/>
      <c r="X118" s="75"/>
      <c r="Y118" s="75"/>
      <c r="Z118" s="96">
        <f>SUM(Tableau14[[#This Row],[A-1]:[G-5]])</f>
        <v>0</v>
      </c>
      <c r="AA118" s="96" t="str">
        <f>IF(AND(Z118&gt;0,Tableau14[[#This Row],[CDS]]=""),"Oui","Non")</f>
        <v>Non</v>
      </c>
      <c r="AB118" s="75"/>
      <c r="AC118" s="75"/>
      <c r="AD118" s="75"/>
      <c r="AE118" s="75"/>
      <c r="AF118" s="75"/>
      <c r="AG118" s="75"/>
      <c r="AH118" s="75"/>
      <c r="AI118" s="75"/>
      <c r="AJ118" s="81"/>
      <c r="AK118" s="75"/>
      <c r="AL118" s="75"/>
    </row>
    <row r="119" spans="1:38" ht="15.75" hidden="1" thickBot="1" x14ac:dyDescent="0.3">
      <c r="A119" s="75"/>
      <c r="B119" s="75"/>
      <c r="C119" s="35">
        <f>INDEX(Données!$F$2:$L$54,MATCH(F119,Données!$F$2:$F$54,0),2)</f>
        <v>43955</v>
      </c>
      <c r="D119" s="29" t="str">
        <f t="shared" si="2"/>
        <v>#2</v>
      </c>
      <c r="E119" s="7">
        <f>Données!J20</f>
        <v>43958</v>
      </c>
      <c r="F119" s="6" t="str">
        <f>INDEX(Données!$F$2:$L$54,MATCH('#2'!E119,Données!$G$2:$G$54,1),1)</f>
        <v>19</v>
      </c>
      <c r="G119" s="18" t="str">
        <f t="shared" si="3"/>
        <v>PS-2</v>
      </c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1"/>
      <c r="W119" s="75"/>
      <c r="X119" s="75"/>
      <c r="Y119" s="75"/>
      <c r="Z119" s="96">
        <f>SUM(Tableau14[[#This Row],[A-1]:[G-5]])</f>
        <v>0</v>
      </c>
      <c r="AA119" s="96" t="str">
        <f>IF(AND(Z119&gt;0,Tableau14[[#This Row],[CDS]]=""),"Oui","Non")</f>
        <v>Non</v>
      </c>
      <c r="AB119" s="75"/>
      <c r="AC119" s="75"/>
      <c r="AD119" s="75"/>
      <c r="AE119" s="75"/>
      <c r="AF119" s="75"/>
      <c r="AG119" s="75"/>
      <c r="AH119" s="75"/>
      <c r="AI119" s="75"/>
      <c r="AJ119" s="81"/>
      <c r="AK119" s="75"/>
      <c r="AL119" s="75"/>
    </row>
    <row r="120" spans="1:38" ht="15.75" hidden="1" thickBot="1" x14ac:dyDescent="0.3">
      <c r="A120" s="75"/>
      <c r="B120" s="75"/>
      <c r="C120" s="35">
        <f>INDEX(Données!$F$2:$L$54,MATCH(F120,Données!$F$2:$F$54,0),2)</f>
        <v>43955</v>
      </c>
      <c r="D120" s="29" t="str">
        <f t="shared" si="2"/>
        <v>#2</v>
      </c>
      <c r="E120" s="7">
        <f>Données!K20</f>
        <v>43959</v>
      </c>
      <c r="F120" s="6" t="str">
        <f>INDEX(Données!$F$2:$L$54,MATCH('#2'!E120,Données!$G$2:$G$54,1),1)</f>
        <v>19</v>
      </c>
      <c r="G120" s="18" t="str">
        <f t="shared" si="3"/>
        <v>PS-2</v>
      </c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1"/>
      <c r="W120" s="75"/>
      <c r="X120" s="75"/>
      <c r="Y120" s="75"/>
      <c r="Z120" s="96">
        <f>SUM(Tableau14[[#This Row],[A-1]:[G-5]])</f>
        <v>0</v>
      </c>
      <c r="AA120" s="96" t="str">
        <f>IF(AND(Z120&gt;0,Tableau14[[#This Row],[CDS]]=""),"Oui","Non")</f>
        <v>Non</v>
      </c>
      <c r="AB120" s="75"/>
      <c r="AC120" s="75"/>
      <c r="AD120" s="75"/>
      <c r="AE120" s="75"/>
      <c r="AF120" s="75"/>
      <c r="AG120" s="75"/>
      <c r="AH120" s="75"/>
      <c r="AI120" s="75"/>
      <c r="AJ120" s="81"/>
      <c r="AK120" s="75"/>
      <c r="AL120" s="75"/>
    </row>
    <row r="121" spans="1:38" ht="15.75" hidden="1" thickBot="1" x14ac:dyDescent="0.3">
      <c r="A121" s="75"/>
      <c r="B121" s="75"/>
      <c r="C121" s="35">
        <f>INDEX(Données!$F$2:$L$54,MATCH(F121,Données!$F$2:$F$54,0),2)</f>
        <v>43955</v>
      </c>
      <c r="D121" s="29" t="str">
        <f t="shared" si="2"/>
        <v>#2</v>
      </c>
      <c r="E121" s="7">
        <f>Données!L20</f>
        <v>43960</v>
      </c>
      <c r="F121" s="6" t="str">
        <f>INDEX(Données!$F$2:$L$54,MATCH('#2'!E121,Données!$G$2:$G$54,1),1)</f>
        <v>19</v>
      </c>
      <c r="G121" s="18" t="str">
        <f t="shared" si="3"/>
        <v>PS-2</v>
      </c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1"/>
      <c r="W121" s="75"/>
      <c r="X121" s="75"/>
      <c r="Y121" s="75"/>
      <c r="Z121" s="96">
        <f>SUM(Tableau14[[#This Row],[A-1]:[G-5]])</f>
        <v>0</v>
      </c>
      <c r="AA121" s="96" t="str">
        <f>IF(AND(Z121&gt;0,Tableau14[[#This Row],[CDS]]=""),"Oui","Non")</f>
        <v>Non</v>
      </c>
      <c r="AB121" s="75"/>
      <c r="AC121" s="75"/>
      <c r="AD121" s="75"/>
      <c r="AE121" s="75"/>
      <c r="AF121" s="75"/>
      <c r="AG121" s="75"/>
      <c r="AH121" s="75"/>
      <c r="AI121" s="75"/>
      <c r="AJ121" s="81"/>
      <c r="AK121" s="75"/>
      <c r="AL121" s="75"/>
    </row>
    <row r="122" spans="1:38" ht="15.75" hidden="1" thickBot="1" x14ac:dyDescent="0.3">
      <c r="A122" s="75"/>
      <c r="B122" s="75"/>
      <c r="C122" s="35">
        <f>INDEX(Données!$F$2:$L$54,MATCH(F122,Données!$F$2:$F$54,0),2)</f>
        <v>43962</v>
      </c>
      <c r="D122" s="29" t="str">
        <f t="shared" si="2"/>
        <v>#2</v>
      </c>
      <c r="E122" s="7">
        <f>Données!G21</f>
        <v>43962</v>
      </c>
      <c r="F122" s="6" t="str">
        <f>INDEX(Données!$F$2:$L$54,MATCH('#2'!E122,Données!$G$2:$G$54,1),1)</f>
        <v>20</v>
      </c>
      <c r="G122" s="18" t="str">
        <f t="shared" si="3"/>
        <v>PS-2</v>
      </c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1"/>
      <c r="W122" s="75"/>
      <c r="X122" s="75"/>
      <c r="Y122" s="75"/>
      <c r="Z122" s="96">
        <f>SUM(Tableau14[[#This Row],[A-1]:[G-5]])</f>
        <v>0</v>
      </c>
      <c r="AA122" s="96" t="str">
        <f>IF(AND(Z122&gt;0,Tableau14[[#This Row],[CDS]]=""),"Oui","Non")</f>
        <v>Non</v>
      </c>
      <c r="AB122" s="75"/>
      <c r="AC122" s="75"/>
      <c r="AD122" s="75"/>
      <c r="AE122" s="75"/>
      <c r="AF122" s="75"/>
      <c r="AG122" s="75"/>
      <c r="AH122" s="75"/>
      <c r="AI122" s="75"/>
      <c r="AJ122" s="81"/>
      <c r="AK122" s="75"/>
      <c r="AL122" s="75"/>
    </row>
    <row r="123" spans="1:38" ht="15.75" hidden="1" thickBot="1" x14ac:dyDescent="0.3">
      <c r="A123" s="75"/>
      <c r="B123" s="75"/>
      <c r="C123" s="35">
        <f>INDEX(Données!$F$2:$L$54,MATCH(F123,Données!$F$2:$F$54,0),2)</f>
        <v>43962</v>
      </c>
      <c r="D123" s="29" t="str">
        <f t="shared" si="2"/>
        <v>#2</v>
      </c>
      <c r="E123" s="7">
        <f>Données!H21</f>
        <v>43963</v>
      </c>
      <c r="F123" s="6" t="str">
        <f>INDEX(Données!$F$2:$L$54,MATCH('#2'!E123,Données!$G$2:$G$54,1),1)</f>
        <v>20</v>
      </c>
      <c r="G123" s="18" t="str">
        <f t="shared" si="3"/>
        <v>PS-2</v>
      </c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1"/>
      <c r="W123" s="75"/>
      <c r="X123" s="75"/>
      <c r="Y123" s="75"/>
      <c r="Z123" s="96">
        <f>SUM(Tableau14[[#This Row],[A-1]:[G-5]])</f>
        <v>0</v>
      </c>
      <c r="AA123" s="96" t="str">
        <f>IF(AND(Z123&gt;0,Tableau14[[#This Row],[CDS]]=""),"Oui","Non")</f>
        <v>Non</v>
      </c>
      <c r="AB123" s="75"/>
      <c r="AC123" s="75"/>
      <c r="AD123" s="75"/>
      <c r="AE123" s="75"/>
      <c r="AF123" s="75"/>
      <c r="AG123" s="75"/>
      <c r="AH123" s="75"/>
      <c r="AI123" s="75"/>
      <c r="AJ123" s="81"/>
      <c r="AK123" s="75"/>
      <c r="AL123" s="75"/>
    </row>
    <row r="124" spans="1:38" ht="15.75" hidden="1" thickBot="1" x14ac:dyDescent="0.3">
      <c r="A124" s="75"/>
      <c r="B124" s="75"/>
      <c r="C124" s="35">
        <f>INDEX(Données!$F$2:$L$54,MATCH(F124,Données!$F$2:$F$54,0),2)</f>
        <v>43962</v>
      </c>
      <c r="D124" s="29" t="str">
        <f t="shared" si="2"/>
        <v>#2</v>
      </c>
      <c r="E124" s="7">
        <f>Données!I21</f>
        <v>43964</v>
      </c>
      <c r="F124" s="6" t="str">
        <f>INDEX(Données!$F$2:$L$54,MATCH('#2'!E124,Données!$G$2:$G$54,1),1)</f>
        <v>20</v>
      </c>
      <c r="G124" s="18" t="str">
        <f t="shared" si="3"/>
        <v>PS-2</v>
      </c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1"/>
      <c r="W124" s="75"/>
      <c r="X124" s="75"/>
      <c r="Y124" s="75"/>
      <c r="Z124" s="96">
        <f>SUM(Tableau14[[#This Row],[A-1]:[G-5]])</f>
        <v>0</v>
      </c>
      <c r="AA124" s="96" t="str">
        <f>IF(AND(Z124&gt;0,Tableau14[[#This Row],[CDS]]=""),"Oui","Non")</f>
        <v>Non</v>
      </c>
      <c r="AB124" s="75"/>
      <c r="AC124" s="75"/>
      <c r="AD124" s="75"/>
      <c r="AE124" s="75"/>
      <c r="AF124" s="75"/>
      <c r="AG124" s="75"/>
      <c r="AH124" s="75"/>
      <c r="AI124" s="75"/>
      <c r="AJ124" s="81"/>
      <c r="AK124" s="75"/>
      <c r="AL124" s="75"/>
    </row>
    <row r="125" spans="1:38" ht="15.75" hidden="1" thickBot="1" x14ac:dyDescent="0.3">
      <c r="A125" s="75"/>
      <c r="B125" s="75"/>
      <c r="C125" s="35">
        <f>INDEX(Données!$F$2:$L$54,MATCH(F125,Données!$F$2:$F$54,0),2)</f>
        <v>43962</v>
      </c>
      <c r="D125" s="29" t="str">
        <f t="shared" si="2"/>
        <v>#2</v>
      </c>
      <c r="E125" s="7">
        <f>Données!J21</f>
        <v>43965</v>
      </c>
      <c r="F125" s="6" t="str">
        <f>INDEX(Données!$F$2:$L$54,MATCH('#2'!E125,Données!$G$2:$G$54,1),1)</f>
        <v>20</v>
      </c>
      <c r="G125" s="18" t="str">
        <f t="shared" si="3"/>
        <v>PS-2</v>
      </c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1"/>
      <c r="W125" s="75"/>
      <c r="X125" s="75"/>
      <c r="Y125" s="75"/>
      <c r="Z125" s="96">
        <f>SUM(Tableau14[[#This Row],[A-1]:[G-5]])</f>
        <v>0</v>
      </c>
      <c r="AA125" s="96" t="str">
        <f>IF(AND(Z125&gt;0,Tableau14[[#This Row],[CDS]]=""),"Oui","Non")</f>
        <v>Non</v>
      </c>
      <c r="AB125" s="75"/>
      <c r="AC125" s="75"/>
      <c r="AD125" s="75"/>
      <c r="AE125" s="75"/>
      <c r="AF125" s="75"/>
      <c r="AG125" s="75"/>
      <c r="AH125" s="75"/>
      <c r="AI125" s="75"/>
      <c r="AJ125" s="81"/>
      <c r="AK125" s="75"/>
      <c r="AL125" s="75"/>
    </row>
    <row r="126" spans="1:38" ht="15.75" hidden="1" thickBot="1" x14ac:dyDescent="0.3">
      <c r="A126" s="75"/>
      <c r="B126" s="75"/>
      <c r="C126" s="35">
        <f>INDEX(Données!$F$2:$L$54,MATCH(F126,Données!$F$2:$F$54,0),2)</f>
        <v>43962</v>
      </c>
      <c r="D126" s="29" t="str">
        <f t="shared" si="2"/>
        <v>#2</v>
      </c>
      <c r="E126" s="7">
        <f>Données!K21</f>
        <v>43966</v>
      </c>
      <c r="F126" s="6" t="str">
        <f>INDEX(Données!$F$2:$L$54,MATCH('#2'!E126,Données!$G$2:$G$54,1),1)</f>
        <v>20</v>
      </c>
      <c r="G126" s="18" t="str">
        <f t="shared" si="3"/>
        <v>PS-2</v>
      </c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1"/>
      <c r="W126" s="75"/>
      <c r="X126" s="75"/>
      <c r="Y126" s="75"/>
      <c r="Z126" s="96">
        <f>SUM(Tableau14[[#This Row],[A-1]:[G-5]])</f>
        <v>0</v>
      </c>
      <c r="AA126" s="96" t="str">
        <f>IF(AND(Z126&gt;0,Tableau14[[#This Row],[CDS]]=""),"Oui","Non")</f>
        <v>Non</v>
      </c>
      <c r="AB126" s="75"/>
      <c r="AC126" s="75"/>
      <c r="AD126" s="75"/>
      <c r="AE126" s="75"/>
      <c r="AF126" s="75"/>
      <c r="AG126" s="75"/>
      <c r="AH126" s="75"/>
      <c r="AI126" s="75"/>
      <c r="AJ126" s="81"/>
      <c r="AK126" s="75"/>
      <c r="AL126" s="75"/>
    </row>
    <row r="127" spans="1:38" ht="15.75" hidden="1" thickBot="1" x14ac:dyDescent="0.3">
      <c r="A127" s="75"/>
      <c r="B127" s="75"/>
      <c r="C127" s="35">
        <f>INDEX(Données!$F$2:$L$54,MATCH(F127,Données!$F$2:$F$54,0),2)</f>
        <v>43962</v>
      </c>
      <c r="D127" s="29" t="str">
        <f t="shared" si="2"/>
        <v>#2</v>
      </c>
      <c r="E127" s="7">
        <f>Données!L21</f>
        <v>43967</v>
      </c>
      <c r="F127" s="6" t="str">
        <f>INDEX(Données!$F$2:$L$54,MATCH('#2'!E127,Données!$G$2:$G$54,1),1)</f>
        <v>20</v>
      </c>
      <c r="G127" s="18" t="str">
        <f t="shared" si="3"/>
        <v>PS-2</v>
      </c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1"/>
      <c r="W127" s="75"/>
      <c r="X127" s="75"/>
      <c r="Y127" s="75"/>
      <c r="Z127" s="96">
        <f>SUM(Tableau14[[#This Row],[A-1]:[G-5]])</f>
        <v>0</v>
      </c>
      <c r="AA127" s="96" t="str">
        <f>IF(AND(Z127&gt;0,Tableau14[[#This Row],[CDS]]=""),"Oui","Non")</f>
        <v>Non</v>
      </c>
      <c r="AB127" s="75"/>
      <c r="AC127" s="75"/>
      <c r="AD127" s="75"/>
      <c r="AE127" s="75"/>
      <c r="AF127" s="75"/>
      <c r="AG127" s="75"/>
      <c r="AH127" s="75"/>
      <c r="AI127" s="75"/>
      <c r="AJ127" s="81"/>
      <c r="AK127" s="75"/>
      <c r="AL127" s="75"/>
    </row>
    <row r="128" spans="1:38" ht="15.75" hidden="1" thickBot="1" x14ac:dyDescent="0.3">
      <c r="A128" s="75"/>
      <c r="B128" s="75"/>
      <c r="C128" s="35">
        <f>INDEX(Données!$F$2:$L$54,MATCH(F128,Données!$F$2:$F$54,0),2)</f>
        <v>43969</v>
      </c>
      <c r="D128" s="29" t="str">
        <f t="shared" si="2"/>
        <v>#2</v>
      </c>
      <c r="E128" s="7">
        <f>Données!G22</f>
        <v>43969</v>
      </c>
      <c r="F128" s="6" t="str">
        <f>INDEX(Données!$F$2:$L$54,MATCH('#2'!E128,Données!$G$2:$G$54,1),1)</f>
        <v>21</v>
      </c>
      <c r="G128" s="18" t="str">
        <f t="shared" si="3"/>
        <v>PS-2</v>
      </c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1"/>
      <c r="W128" s="75"/>
      <c r="X128" s="75"/>
      <c r="Y128" s="75"/>
      <c r="Z128" s="96">
        <f>SUM(Tableau14[[#This Row],[A-1]:[G-5]])</f>
        <v>0</v>
      </c>
      <c r="AA128" s="96" t="str">
        <f>IF(AND(Z128&gt;0,Tableau14[[#This Row],[CDS]]=""),"Oui","Non")</f>
        <v>Non</v>
      </c>
      <c r="AB128" s="75"/>
      <c r="AC128" s="75"/>
      <c r="AD128" s="75"/>
      <c r="AE128" s="75"/>
      <c r="AF128" s="75"/>
      <c r="AG128" s="75"/>
      <c r="AH128" s="75"/>
      <c r="AI128" s="75"/>
      <c r="AJ128" s="81"/>
      <c r="AK128" s="75"/>
      <c r="AL128" s="75"/>
    </row>
    <row r="129" spans="1:38" ht="15.75" hidden="1" thickBot="1" x14ac:dyDescent="0.3">
      <c r="A129" s="75"/>
      <c r="B129" s="75"/>
      <c r="C129" s="35">
        <f>INDEX(Données!$F$2:$L$54,MATCH(F129,Données!$F$2:$F$54,0),2)</f>
        <v>43969</v>
      </c>
      <c r="D129" s="29" t="str">
        <f t="shared" si="2"/>
        <v>#2</v>
      </c>
      <c r="E129" s="7">
        <f>Données!H22</f>
        <v>43970</v>
      </c>
      <c r="F129" s="6" t="str">
        <f>INDEX(Données!$F$2:$L$54,MATCH('#2'!E129,Données!$G$2:$G$54,1),1)</f>
        <v>21</v>
      </c>
      <c r="G129" s="18" t="str">
        <f t="shared" si="3"/>
        <v>PS-2</v>
      </c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1"/>
      <c r="W129" s="75"/>
      <c r="X129" s="75"/>
      <c r="Y129" s="75"/>
      <c r="Z129" s="96">
        <f>SUM(Tableau14[[#This Row],[A-1]:[G-5]])</f>
        <v>0</v>
      </c>
      <c r="AA129" s="96" t="str">
        <f>IF(AND(Z129&gt;0,Tableau14[[#This Row],[CDS]]=""),"Oui","Non")</f>
        <v>Non</v>
      </c>
      <c r="AB129" s="75"/>
      <c r="AC129" s="75"/>
      <c r="AD129" s="75"/>
      <c r="AE129" s="75"/>
      <c r="AF129" s="75"/>
      <c r="AG129" s="75"/>
      <c r="AH129" s="75"/>
      <c r="AI129" s="75"/>
      <c r="AJ129" s="81"/>
      <c r="AK129" s="75"/>
      <c r="AL129" s="75"/>
    </row>
    <row r="130" spans="1:38" ht="15.75" hidden="1" thickBot="1" x14ac:dyDescent="0.3">
      <c r="A130" s="75"/>
      <c r="B130" s="75"/>
      <c r="C130" s="35">
        <f>INDEX(Données!$F$2:$L$54,MATCH(F130,Données!$F$2:$F$54,0),2)</f>
        <v>43969</v>
      </c>
      <c r="D130" s="29" t="str">
        <f t="shared" si="2"/>
        <v>#2</v>
      </c>
      <c r="E130" s="7">
        <f>Données!I22</f>
        <v>43971</v>
      </c>
      <c r="F130" s="6" t="str">
        <f>INDEX(Données!$F$2:$L$54,MATCH('#2'!E130,Données!$G$2:$G$54,1),1)</f>
        <v>21</v>
      </c>
      <c r="G130" s="18" t="str">
        <f t="shared" si="3"/>
        <v>PS-2</v>
      </c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1"/>
      <c r="W130" s="75"/>
      <c r="X130" s="75"/>
      <c r="Y130" s="75"/>
      <c r="Z130" s="96">
        <f>SUM(Tableau14[[#This Row],[A-1]:[G-5]])</f>
        <v>0</v>
      </c>
      <c r="AA130" s="96" t="str">
        <f>IF(AND(Z130&gt;0,Tableau14[[#This Row],[CDS]]=""),"Oui","Non")</f>
        <v>Non</v>
      </c>
      <c r="AB130" s="75"/>
      <c r="AC130" s="75"/>
      <c r="AD130" s="75"/>
      <c r="AE130" s="75"/>
      <c r="AF130" s="75"/>
      <c r="AG130" s="75"/>
      <c r="AH130" s="75"/>
      <c r="AI130" s="75"/>
      <c r="AJ130" s="81"/>
      <c r="AK130" s="75"/>
      <c r="AL130" s="75"/>
    </row>
    <row r="131" spans="1:38" ht="15.75" hidden="1" thickBot="1" x14ac:dyDescent="0.3">
      <c r="A131" s="75"/>
      <c r="B131" s="75"/>
      <c r="C131" s="35">
        <f>INDEX(Données!$F$2:$L$54,MATCH(F131,Données!$F$2:$F$54,0),2)</f>
        <v>43969</v>
      </c>
      <c r="D131" s="29" t="str">
        <f t="shared" si="2"/>
        <v>#2</v>
      </c>
      <c r="E131" s="7">
        <f>Données!J22</f>
        <v>43972</v>
      </c>
      <c r="F131" s="6" t="str">
        <f>INDEX(Données!$F$2:$L$54,MATCH('#2'!E131,Données!$G$2:$G$54,1),1)</f>
        <v>21</v>
      </c>
      <c r="G131" s="18" t="str">
        <f t="shared" si="3"/>
        <v>PS-2</v>
      </c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1"/>
      <c r="W131" s="75"/>
      <c r="X131" s="75"/>
      <c r="Y131" s="75"/>
      <c r="Z131" s="96">
        <f>SUM(Tableau14[[#This Row],[A-1]:[G-5]])</f>
        <v>0</v>
      </c>
      <c r="AA131" s="96" t="str">
        <f>IF(AND(Z131&gt;0,Tableau14[[#This Row],[CDS]]=""),"Oui","Non")</f>
        <v>Non</v>
      </c>
      <c r="AB131" s="75"/>
      <c r="AC131" s="75"/>
      <c r="AD131" s="75"/>
      <c r="AE131" s="75"/>
      <c r="AF131" s="75"/>
      <c r="AG131" s="75"/>
      <c r="AH131" s="75"/>
      <c r="AI131" s="75"/>
      <c r="AJ131" s="81"/>
      <c r="AK131" s="75"/>
      <c r="AL131" s="75"/>
    </row>
    <row r="132" spans="1:38" ht="15.75" hidden="1" thickBot="1" x14ac:dyDescent="0.3">
      <c r="A132" s="75"/>
      <c r="B132" s="75"/>
      <c r="C132" s="35">
        <f>INDEX(Données!$F$2:$L$54,MATCH(F132,Données!$F$2:$F$54,0),2)</f>
        <v>43969</v>
      </c>
      <c r="D132" s="29" t="str">
        <f t="shared" si="2"/>
        <v>#2</v>
      </c>
      <c r="E132" s="7">
        <f>Données!K22</f>
        <v>43973</v>
      </c>
      <c r="F132" s="6" t="str">
        <f>INDEX(Données!$F$2:$L$54,MATCH('#2'!E132,Données!$G$2:$G$54,1),1)</f>
        <v>21</v>
      </c>
      <c r="G132" s="18" t="str">
        <f t="shared" si="3"/>
        <v>PS-2</v>
      </c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1"/>
      <c r="W132" s="75"/>
      <c r="X132" s="75"/>
      <c r="Y132" s="75"/>
      <c r="Z132" s="96">
        <f>SUM(Tableau14[[#This Row],[A-1]:[G-5]])</f>
        <v>0</v>
      </c>
      <c r="AA132" s="96" t="str">
        <f>IF(AND(Z132&gt;0,Tableau14[[#This Row],[CDS]]=""),"Oui","Non")</f>
        <v>Non</v>
      </c>
      <c r="AB132" s="75"/>
      <c r="AC132" s="75"/>
      <c r="AD132" s="75"/>
      <c r="AE132" s="75"/>
      <c r="AF132" s="75"/>
      <c r="AG132" s="75"/>
      <c r="AH132" s="75"/>
      <c r="AI132" s="75"/>
      <c r="AJ132" s="81"/>
      <c r="AK132" s="75"/>
      <c r="AL132" s="75"/>
    </row>
    <row r="133" spans="1:38" ht="15.75" hidden="1" thickBot="1" x14ac:dyDescent="0.3">
      <c r="A133" s="75"/>
      <c r="B133" s="75"/>
      <c r="C133" s="35">
        <f>INDEX(Données!$F$2:$L$54,MATCH(F133,Données!$F$2:$F$54,0),2)</f>
        <v>43969</v>
      </c>
      <c r="D133" s="29" t="str">
        <f t="shared" si="2"/>
        <v>#2</v>
      </c>
      <c r="E133" s="7">
        <f>Données!L22</f>
        <v>43974</v>
      </c>
      <c r="F133" s="6" t="str">
        <f>INDEX(Données!$F$2:$L$54,MATCH('#2'!E133,Données!$G$2:$G$54,1),1)</f>
        <v>21</v>
      </c>
      <c r="G133" s="18" t="str">
        <f t="shared" si="3"/>
        <v>PS-2</v>
      </c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1"/>
      <c r="W133" s="75"/>
      <c r="X133" s="75"/>
      <c r="Y133" s="75"/>
      <c r="Z133" s="96">
        <f>SUM(Tableau14[[#This Row],[A-1]:[G-5]])</f>
        <v>0</v>
      </c>
      <c r="AA133" s="96" t="str">
        <f>IF(AND(Z133&gt;0,Tableau14[[#This Row],[CDS]]=""),"Oui","Non")</f>
        <v>Non</v>
      </c>
      <c r="AB133" s="75"/>
      <c r="AC133" s="75"/>
      <c r="AD133" s="75"/>
      <c r="AE133" s="75"/>
      <c r="AF133" s="75"/>
      <c r="AG133" s="75"/>
      <c r="AH133" s="75"/>
      <c r="AI133" s="75"/>
      <c r="AJ133" s="81"/>
      <c r="AK133" s="75"/>
      <c r="AL133" s="75"/>
    </row>
    <row r="134" spans="1:38" ht="15.75" hidden="1" thickBot="1" x14ac:dyDescent="0.3">
      <c r="A134" s="75"/>
      <c r="B134" s="75"/>
      <c r="C134" s="35">
        <f>INDEX(Données!$F$2:$L$54,MATCH(F134,Données!$F$2:$F$54,0),2)</f>
        <v>43976</v>
      </c>
      <c r="D134" s="29" t="str">
        <f t="shared" si="2"/>
        <v>#2</v>
      </c>
      <c r="E134" s="7">
        <f>Données!G23</f>
        <v>43976</v>
      </c>
      <c r="F134" s="6" t="str">
        <f>INDEX(Données!$F$2:$L$54,MATCH('#2'!E134,Données!$G$2:$G$54,1),1)</f>
        <v>22</v>
      </c>
      <c r="G134" s="18" t="str">
        <f t="shared" si="3"/>
        <v>PS-2</v>
      </c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1"/>
      <c r="W134" s="75"/>
      <c r="X134" s="75"/>
      <c r="Y134" s="75"/>
      <c r="Z134" s="96">
        <f>SUM(Tableau14[[#This Row],[A-1]:[G-5]])</f>
        <v>0</v>
      </c>
      <c r="AA134" s="96" t="str">
        <f>IF(AND(Z134&gt;0,Tableau14[[#This Row],[CDS]]=""),"Oui","Non")</f>
        <v>Non</v>
      </c>
      <c r="AB134" s="75"/>
      <c r="AC134" s="75"/>
      <c r="AD134" s="75"/>
      <c r="AE134" s="75"/>
      <c r="AF134" s="75"/>
      <c r="AG134" s="75"/>
      <c r="AH134" s="75"/>
      <c r="AI134" s="75"/>
      <c r="AJ134" s="81"/>
      <c r="AK134" s="75"/>
      <c r="AL134" s="75"/>
    </row>
    <row r="135" spans="1:38" ht="15.75" hidden="1" thickBot="1" x14ac:dyDescent="0.3">
      <c r="A135" s="75"/>
      <c r="B135" s="75"/>
      <c r="C135" s="35">
        <f>INDEX(Données!$F$2:$L$54,MATCH(F135,Données!$F$2:$F$54,0),2)</f>
        <v>43976</v>
      </c>
      <c r="D135" s="29" t="str">
        <f t="shared" si="2"/>
        <v>#2</v>
      </c>
      <c r="E135" s="7">
        <f>Données!H23</f>
        <v>43977</v>
      </c>
      <c r="F135" s="6" t="str">
        <f>INDEX(Données!$F$2:$L$54,MATCH('#2'!E135,Données!$G$2:$G$54,1),1)</f>
        <v>22</v>
      </c>
      <c r="G135" s="18" t="str">
        <f t="shared" si="3"/>
        <v>PS-2</v>
      </c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1"/>
      <c r="W135" s="75"/>
      <c r="X135" s="75"/>
      <c r="Y135" s="75"/>
      <c r="Z135" s="96">
        <f>SUM(Tableau14[[#This Row],[A-1]:[G-5]])</f>
        <v>0</v>
      </c>
      <c r="AA135" s="96" t="str">
        <f>IF(AND(Z135&gt;0,Tableau14[[#This Row],[CDS]]=""),"Oui","Non")</f>
        <v>Non</v>
      </c>
      <c r="AB135" s="75"/>
      <c r="AC135" s="75"/>
      <c r="AD135" s="75"/>
      <c r="AE135" s="75"/>
      <c r="AF135" s="75"/>
      <c r="AG135" s="75"/>
      <c r="AH135" s="75"/>
      <c r="AI135" s="75"/>
      <c r="AJ135" s="81"/>
      <c r="AK135" s="75"/>
      <c r="AL135" s="75"/>
    </row>
    <row r="136" spans="1:38" ht="15.75" hidden="1" thickBot="1" x14ac:dyDescent="0.3">
      <c r="A136" s="75"/>
      <c r="B136" s="75"/>
      <c r="C136" s="35">
        <f>INDEX(Données!$F$2:$L$54,MATCH(F136,Données!$F$2:$F$54,0),2)</f>
        <v>43976</v>
      </c>
      <c r="D136" s="29" t="str">
        <f t="shared" ref="D136:D199" si="4">$E$4</f>
        <v>#2</v>
      </c>
      <c r="E136" s="7">
        <f>Données!I23</f>
        <v>43978</v>
      </c>
      <c r="F136" s="6" t="str">
        <f>INDEX(Données!$F$2:$L$54,MATCH('#2'!E136,Données!$G$2:$G$54,1),1)</f>
        <v>22</v>
      </c>
      <c r="G136" s="18" t="str">
        <f t="shared" ref="G136:G199" si="5">IF(AND($V$5=1),"PS-1",IF(AND($V$5=2),"PS-2",IF(AND($V$5=4),"PS-4",IF(AND($V$5=6),"S.O.",IF(AND($V$5=5),"")))))</f>
        <v>PS-2</v>
      </c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1"/>
      <c r="W136" s="75"/>
      <c r="X136" s="75"/>
      <c r="Y136" s="75"/>
      <c r="Z136" s="96">
        <f>SUM(Tableau14[[#This Row],[A-1]:[G-5]])</f>
        <v>0</v>
      </c>
      <c r="AA136" s="96" t="str">
        <f>IF(AND(Z136&gt;0,Tableau14[[#This Row],[CDS]]=""),"Oui","Non")</f>
        <v>Non</v>
      </c>
      <c r="AB136" s="75"/>
      <c r="AC136" s="75"/>
      <c r="AD136" s="75"/>
      <c r="AE136" s="75"/>
      <c r="AF136" s="75"/>
      <c r="AG136" s="75"/>
      <c r="AH136" s="75"/>
      <c r="AI136" s="75"/>
      <c r="AJ136" s="81"/>
      <c r="AK136" s="75"/>
      <c r="AL136" s="75"/>
    </row>
    <row r="137" spans="1:38" ht="15.75" hidden="1" thickBot="1" x14ac:dyDescent="0.3">
      <c r="A137" s="75"/>
      <c r="B137" s="75"/>
      <c r="C137" s="35">
        <f>INDEX(Données!$F$2:$L$54,MATCH(F137,Données!$F$2:$F$54,0),2)</f>
        <v>43976</v>
      </c>
      <c r="D137" s="29" t="str">
        <f t="shared" si="4"/>
        <v>#2</v>
      </c>
      <c r="E137" s="7">
        <f>Données!J23</f>
        <v>43979</v>
      </c>
      <c r="F137" s="6" t="str">
        <f>INDEX(Données!$F$2:$L$54,MATCH('#2'!E137,Données!$G$2:$G$54,1),1)</f>
        <v>22</v>
      </c>
      <c r="G137" s="18" t="str">
        <f t="shared" si="5"/>
        <v>PS-2</v>
      </c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1"/>
      <c r="W137" s="75"/>
      <c r="X137" s="75"/>
      <c r="Y137" s="75"/>
      <c r="Z137" s="96">
        <f>SUM(Tableau14[[#This Row],[A-1]:[G-5]])</f>
        <v>0</v>
      </c>
      <c r="AA137" s="96" t="str">
        <f>IF(AND(Z137&gt;0,Tableau14[[#This Row],[CDS]]=""),"Oui","Non")</f>
        <v>Non</v>
      </c>
      <c r="AB137" s="75"/>
      <c r="AC137" s="75"/>
      <c r="AD137" s="75"/>
      <c r="AE137" s="75"/>
      <c r="AF137" s="75"/>
      <c r="AG137" s="75"/>
      <c r="AH137" s="75"/>
      <c r="AI137" s="75"/>
      <c r="AJ137" s="81"/>
      <c r="AK137" s="75"/>
      <c r="AL137" s="75"/>
    </row>
    <row r="138" spans="1:38" ht="15.75" hidden="1" thickBot="1" x14ac:dyDescent="0.3">
      <c r="A138" s="75"/>
      <c r="B138" s="75"/>
      <c r="C138" s="35">
        <f>INDEX(Données!$F$2:$L$54,MATCH(F138,Données!$F$2:$F$54,0),2)</f>
        <v>43976</v>
      </c>
      <c r="D138" s="29" t="str">
        <f t="shared" si="4"/>
        <v>#2</v>
      </c>
      <c r="E138" s="7">
        <f>Données!K23</f>
        <v>43980</v>
      </c>
      <c r="F138" s="6" t="str">
        <f>INDEX(Données!$F$2:$L$54,MATCH('#2'!E138,Données!$G$2:$G$54,1),1)</f>
        <v>22</v>
      </c>
      <c r="G138" s="18" t="str">
        <f t="shared" si="5"/>
        <v>PS-2</v>
      </c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1"/>
      <c r="W138" s="75"/>
      <c r="X138" s="75"/>
      <c r="Y138" s="75"/>
      <c r="Z138" s="96">
        <f>SUM(Tableau14[[#This Row],[A-1]:[G-5]])</f>
        <v>0</v>
      </c>
      <c r="AA138" s="96" t="str">
        <f>IF(AND(Z138&gt;0,Tableau14[[#This Row],[CDS]]=""),"Oui","Non")</f>
        <v>Non</v>
      </c>
      <c r="AB138" s="75"/>
      <c r="AC138" s="75"/>
      <c r="AD138" s="75"/>
      <c r="AE138" s="75"/>
      <c r="AF138" s="75"/>
      <c r="AG138" s="75"/>
      <c r="AH138" s="75"/>
      <c r="AI138" s="75"/>
      <c r="AJ138" s="81"/>
      <c r="AK138" s="75"/>
      <c r="AL138" s="75"/>
    </row>
    <row r="139" spans="1:38" ht="15.75" hidden="1" thickBot="1" x14ac:dyDescent="0.3">
      <c r="A139" s="75"/>
      <c r="B139" s="75"/>
      <c r="C139" s="35">
        <f>INDEX(Données!$F$2:$L$54,MATCH(F139,Données!$F$2:$F$54,0),2)</f>
        <v>43976</v>
      </c>
      <c r="D139" s="29" t="str">
        <f t="shared" si="4"/>
        <v>#2</v>
      </c>
      <c r="E139" s="7">
        <f>Données!L23</f>
        <v>43981</v>
      </c>
      <c r="F139" s="6" t="str">
        <f>INDEX(Données!$F$2:$L$54,MATCH('#2'!E139,Données!$G$2:$G$54,1),1)</f>
        <v>22</v>
      </c>
      <c r="G139" s="18" t="str">
        <f t="shared" si="5"/>
        <v>PS-2</v>
      </c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1"/>
      <c r="W139" s="75"/>
      <c r="X139" s="75"/>
      <c r="Y139" s="75"/>
      <c r="Z139" s="96">
        <f>SUM(Tableau14[[#This Row],[A-1]:[G-5]])</f>
        <v>0</v>
      </c>
      <c r="AA139" s="96" t="str">
        <f>IF(AND(Z139&gt;0,Tableau14[[#This Row],[CDS]]=""),"Oui","Non")</f>
        <v>Non</v>
      </c>
      <c r="AB139" s="75"/>
      <c r="AC139" s="75"/>
      <c r="AD139" s="75"/>
      <c r="AE139" s="75"/>
      <c r="AF139" s="75"/>
      <c r="AG139" s="75"/>
      <c r="AH139" s="75"/>
      <c r="AI139" s="75"/>
      <c r="AJ139" s="81"/>
      <c r="AK139" s="75"/>
      <c r="AL139" s="75"/>
    </row>
    <row r="140" spans="1:38" ht="15.75" hidden="1" thickBot="1" x14ac:dyDescent="0.3">
      <c r="A140" s="75"/>
      <c r="B140" s="75"/>
      <c r="C140" s="35">
        <f>INDEX(Données!$F$2:$L$54,MATCH(F140,Données!$F$2:$F$54,0),2)</f>
        <v>43983</v>
      </c>
      <c r="D140" s="29" t="str">
        <f t="shared" si="4"/>
        <v>#2</v>
      </c>
      <c r="E140" s="7">
        <f>Données!G24</f>
        <v>43983</v>
      </c>
      <c r="F140" s="6" t="str">
        <f>INDEX(Données!$F$2:$L$54,MATCH('#2'!E140,Données!$G$2:$G$54,1),1)</f>
        <v>23</v>
      </c>
      <c r="G140" s="18" t="str">
        <f t="shared" si="5"/>
        <v>PS-2</v>
      </c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1"/>
      <c r="W140" s="75"/>
      <c r="X140" s="75"/>
      <c r="Y140" s="75"/>
      <c r="Z140" s="96">
        <f>SUM(Tableau14[[#This Row],[A-1]:[G-5]])</f>
        <v>0</v>
      </c>
      <c r="AA140" s="96" t="str">
        <f>IF(AND(Z140&gt;0,Tableau14[[#This Row],[CDS]]=""),"Oui","Non")</f>
        <v>Non</v>
      </c>
      <c r="AB140" s="75"/>
      <c r="AC140" s="75"/>
      <c r="AD140" s="75"/>
      <c r="AE140" s="75"/>
      <c r="AF140" s="75"/>
      <c r="AG140" s="75"/>
      <c r="AH140" s="75"/>
      <c r="AI140" s="75"/>
      <c r="AJ140" s="81"/>
      <c r="AK140" s="75"/>
      <c r="AL140" s="75"/>
    </row>
    <row r="141" spans="1:38" ht="15.75" hidden="1" thickBot="1" x14ac:dyDescent="0.3">
      <c r="A141" s="75"/>
      <c r="B141" s="75"/>
      <c r="C141" s="35">
        <f>INDEX(Données!$F$2:$L$54,MATCH(F141,Données!$F$2:$F$54,0),2)</f>
        <v>43983</v>
      </c>
      <c r="D141" s="29" t="str">
        <f t="shared" si="4"/>
        <v>#2</v>
      </c>
      <c r="E141" s="7">
        <f>Données!H24</f>
        <v>43984</v>
      </c>
      <c r="F141" s="6" t="str">
        <f>INDEX(Données!$F$2:$L$54,MATCH('#2'!E141,Données!$G$2:$G$54,1),1)</f>
        <v>23</v>
      </c>
      <c r="G141" s="18" t="str">
        <f t="shared" si="5"/>
        <v>PS-2</v>
      </c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1"/>
      <c r="W141" s="75"/>
      <c r="X141" s="75"/>
      <c r="Y141" s="75"/>
      <c r="Z141" s="96">
        <f>SUM(Tableau14[[#This Row],[A-1]:[G-5]])</f>
        <v>0</v>
      </c>
      <c r="AA141" s="96" t="str">
        <f>IF(AND(Z141&gt;0,Tableau14[[#This Row],[CDS]]=""),"Oui","Non")</f>
        <v>Non</v>
      </c>
      <c r="AB141" s="75"/>
      <c r="AC141" s="75"/>
      <c r="AD141" s="75"/>
      <c r="AE141" s="75"/>
      <c r="AF141" s="75"/>
      <c r="AG141" s="75"/>
      <c r="AH141" s="75"/>
      <c r="AI141" s="75"/>
      <c r="AJ141" s="81"/>
      <c r="AK141" s="75"/>
      <c r="AL141" s="75"/>
    </row>
    <row r="142" spans="1:38" ht="15.75" hidden="1" thickBot="1" x14ac:dyDescent="0.3">
      <c r="A142" s="75"/>
      <c r="B142" s="75"/>
      <c r="C142" s="35">
        <f>INDEX(Données!$F$2:$L$54,MATCH(F142,Données!$F$2:$F$54,0),2)</f>
        <v>43983</v>
      </c>
      <c r="D142" s="29" t="str">
        <f t="shared" si="4"/>
        <v>#2</v>
      </c>
      <c r="E142" s="7">
        <f>Données!I24</f>
        <v>43985</v>
      </c>
      <c r="F142" s="6" t="str">
        <f>INDEX(Données!$F$2:$L$54,MATCH('#2'!E142,Données!$G$2:$G$54,1),1)</f>
        <v>23</v>
      </c>
      <c r="G142" s="18" t="str">
        <f t="shared" si="5"/>
        <v>PS-2</v>
      </c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1"/>
      <c r="W142" s="75"/>
      <c r="X142" s="75"/>
      <c r="Y142" s="75"/>
      <c r="Z142" s="96">
        <f>SUM(Tableau14[[#This Row],[A-1]:[G-5]])</f>
        <v>0</v>
      </c>
      <c r="AA142" s="96" t="str">
        <f>IF(AND(Z142&gt;0,Tableau14[[#This Row],[CDS]]=""),"Oui","Non")</f>
        <v>Non</v>
      </c>
      <c r="AB142" s="75"/>
      <c r="AC142" s="75"/>
      <c r="AD142" s="75"/>
      <c r="AE142" s="75"/>
      <c r="AF142" s="75"/>
      <c r="AG142" s="75"/>
      <c r="AH142" s="75"/>
      <c r="AI142" s="75"/>
      <c r="AJ142" s="81"/>
      <c r="AK142" s="75"/>
      <c r="AL142" s="75"/>
    </row>
    <row r="143" spans="1:38" ht="15.75" hidden="1" thickBot="1" x14ac:dyDescent="0.3">
      <c r="A143" s="75"/>
      <c r="B143" s="75"/>
      <c r="C143" s="35">
        <f>INDEX(Données!$F$2:$L$54,MATCH(F143,Données!$F$2:$F$54,0),2)</f>
        <v>43983</v>
      </c>
      <c r="D143" s="29" t="str">
        <f t="shared" si="4"/>
        <v>#2</v>
      </c>
      <c r="E143" s="7">
        <f>Données!J24</f>
        <v>43986</v>
      </c>
      <c r="F143" s="6" t="str">
        <f>INDEX(Données!$F$2:$L$54,MATCH('#2'!E143,Données!$G$2:$G$54,1),1)</f>
        <v>23</v>
      </c>
      <c r="G143" s="18" t="str">
        <f t="shared" si="5"/>
        <v>PS-2</v>
      </c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1"/>
      <c r="W143" s="75"/>
      <c r="X143" s="75"/>
      <c r="Y143" s="75"/>
      <c r="Z143" s="96">
        <f>SUM(Tableau14[[#This Row],[A-1]:[G-5]])</f>
        <v>0</v>
      </c>
      <c r="AA143" s="96" t="str">
        <f>IF(AND(Z143&gt;0,Tableau14[[#This Row],[CDS]]=""),"Oui","Non")</f>
        <v>Non</v>
      </c>
      <c r="AB143" s="75"/>
      <c r="AC143" s="75"/>
      <c r="AD143" s="75"/>
      <c r="AE143" s="75"/>
      <c r="AF143" s="75"/>
      <c r="AG143" s="75"/>
      <c r="AH143" s="75"/>
      <c r="AI143" s="75"/>
      <c r="AJ143" s="81"/>
      <c r="AK143" s="75"/>
      <c r="AL143" s="75"/>
    </row>
    <row r="144" spans="1:38" ht="15.75" hidden="1" thickBot="1" x14ac:dyDescent="0.3">
      <c r="A144" s="75"/>
      <c r="B144" s="75"/>
      <c r="C144" s="35">
        <f>INDEX(Données!$F$2:$L$54,MATCH(F144,Données!$F$2:$F$54,0),2)</f>
        <v>43983</v>
      </c>
      <c r="D144" s="29" t="str">
        <f t="shared" si="4"/>
        <v>#2</v>
      </c>
      <c r="E144" s="7">
        <f>Données!K24</f>
        <v>43987</v>
      </c>
      <c r="F144" s="6" t="str">
        <f>INDEX(Données!$F$2:$L$54,MATCH('#2'!E144,Données!$G$2:$G$54,1),1)</f>
        <v>23</v>
      </c>
      <c r="G144" s="18" t="str">
        <f t="shared" si="5"/>
        <v>PS-2</v>
      </c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1"/>
      <c r="W144" s="75"/>
      <c r="X144" s="75"/>
      <c r="Y144" s="75"/>
      <c r="Z144" s="96">
        <f>SUM(Tableau14[[#This Row],[A-1]:[G-5]])</f>
        <v>0</v>
      </c>
      <c r="AA144" s="96" t="str">
        <f>IF(AND(Z144&gt;0,Tableau14[[#This Row],[CDS]]=""),"Oui","Non")</f>
        <v>Non</v>
      </c>
      <c r="AB144" s="75"/>
      <c r="AC144" s="75"/>
      <c r="AD144" s="75"/>
      <c r="AE144" s="75"/>
      <c r="AF144" s="75"/>
      <c r="AG144" s="75"/>
      <c r="AH144" s="75"/>
      <c r="AI144" s="75"/>
      <c r="AJ144" s="81"/>
      <c r="AK144" s="75"/>
      <c r="AL144" s="75"/>
    </row>
    <row r="145" spans="1:38" ht="15.75" hidden="1" thickBot="1" x14ac:dyDescent="0.3">
      <c r="A145" s="75"/>
      <c r="B145" s="75"/>
      <c r="C145" s="35">
        <f>INDEX(Données!$F$2:$L$54,MATCH(F145,Données!$F$2:$F$54,0),2)</f>
        <v>43983</v>
      </c>
      <c r="D145" s="29" t="str">
        <f t="shared" si="4"/>
        <v>#2</v>
      </c>
      <c r="E145" s="7">
        <f>Données!L24</f>
        <v>43988</v>
      </c>
      <c r="F145" s="6" t="str">
        <f>INDEX(Données!$F$2:$L$54,MATCH('#2'!E145,Données!$G$2:$G$54,1),1)</f>
        <v>23</v>
      </c>
      <c r="G145" s="18" t="str">
        <f t="shared" si="5"/>
        <v>PS-2</v>
      </c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1"/>
      <c r="W145" s="75"/>
      <c r="X145" s="75"/>
      <c r="Y145" s="75"/>
      <c r="Z145" s="96">
        <f>SUM(Tableau14[[#This Row],[A-1]:[G-5]])</f>
        <v>0</v>
      </c>
      <c r="AA145" s="96" t="str">
        <f>IF(AND(Z145&gt;0,Tableau14[[#This Row],[CDS]]=""),"Oui","Non")</f>
        <v>Non</v>
      </c>
      <c r="AB145" s="75"/>
      <c r="AC145" s="75"/>
      <c r="AD145" s="75"/>
      <c r="AE145" s="75"/>
      <c r="AF145" s="75"/>
      <c r="AG145" s="75"/>
      <c r="AH145" s="75"/>
      <c r="AI145" s="75"/>
      <c r="AJ145" s="81"/>
      <c r="AK145" s="75"/>
      <c r="AL145" s="75"/>
    </row>
    <row r="146" spans="1:38" ht="15.75" hidden="1" thickBot="1" x14ac:dyDescent="0.3">
      <c r="A146" s="75"/>
      <c r="B146" s="75"/>
      <c r="C146" s="35">
        <f>INDEX(Données!$F$2:$L$54,MATCH(F146,Données!$F$2:$F$54,0),2)</f>
        <v>43990</v>
      </c>
      <c r="D146" s="29" t="str">
        <f t="shared" si="4"/>
        <v>#2</v>
      </c>
      <c r="E146" s="7">
        <f>Données!G25</f>
        <v>43990</v>
      </c>
      <c r="F146" s="6" t="str">
        <f>INDEX(Données!$F$2:$L$54,MATCH('#2'!E146,Données!$G$2:$G$54,1),1)</f>
        <v>24</v>
      </c>
      <c r="G146" s="18" t="str">
        <f t="shared" si="5"/>
        <v>PS-2</v>
      </c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1"/>
      <c r="W146" s="75"/>
      <c r="X146" s="75"/>
      <c r="Y146" s="75"/>
      <c r="Z146" s="96">
        <f>SUM(Tableau14[[#This Row],[A-1]:[G-5]])</f>
        <v>0</v>
      </c>
      <c r="AA146" s="96" t="str">
        <f>IF(AND(Z146&gt;0,Tableau14[[#This Row],[CDS]]=""),"Oui","Non")</f>
        <v>Non</v>
      </c>
      <c r="AB146" s="75"/>
      <c r="AC146" s="75"/>
      <c r="AD146" s="75"/>
      <c r="AE146" s="75"/>
      <c r="AF146" s="75"/>
      <c r="AG146" s="75"/>
      <c r="AH146" s="75"/>
      <c r="AI146" s="75"/>
      <c r="AJ146" s="81"/>
      <c r="AK146" s="75"/>
      <c r="AL146" s="75"/>
    </row>
    <row r="147" spans="1:38" ht="15.75" hidden="1" thickBot="1" x14ac:dyDescent="0.3">
      <c r="A147" s="75"/>
      <c r="B147" s="75"/>
      <c r="C147" s="35">
        <f>INDEX(Données!$F$2:$L$54,MATCH(F147,Données!$F$2:$F$54,0),2)</f>
        <v>43990</v>
      </c>
      <c r="D147" s="29" t="str">
        <f t="shared" si="4"/>
        <v>#2</v>
      </c>
      <c r="E147" s="7">
        <f>Données!H25</f>
        <v>43991</v>
      </c>
      <c r="F147" s="6" t="str">
        <f>INDEX(Données!$F$2:$L$54,MATCH('#2'!E147,Données!$G$2:$G$54,1),1)</f>
        <v>24</v>
      </c>
      <c r="G147" s="18" t="str">
        <f t="shared" si="5"/>
        <v>PS-2</v>
      </c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1"/>
      <c r="W147" s="75"/>
      <c r="X147" s="75"/>
      <c r="Y147" s="75"/>
      <c r="Z147" s="96">
        <f>SUM(Tableau14[[#This Row],[A-1]:[G-5]])</f>
        <v>0</v>
      </c>
      <c r="AA147" s="96" t="str">
        <f>IF(AND(Z147&gt;0,Tableau14[[#This Row],[CDS]]=""),"Oui","Non")</f>
        <v>Non</v>
      </c>
      <c r="AB147" s="75"/>
      <c r="AC147" s="75"/>
      <c r="AD147" s="75"/>
      <c r="AE147" s="75"/>
      <c r="AF147" s="75"/>
      <c r="AG147" s="75"/>
      <c r="AH147" s="75"/>
      <c r="AI147" s="75"/>
      <c r="AJ147" s="81"/>
      <c r="AK147" s="75"/>
      <c r="AL147" s="75"/>
    </row>
    <row r="148" spans="1:38" ht="15.75" hidden="1" thickBot="1" x14ac:dyDescent="0.3">
      <c r="A148" s="75"/>
      <c r="B148" s="75"/>
      <c r="C148" s="35">
        <f>INDEX(Données!$F$2:$L$54,MATCH(F148,Données!$F$2:$F$54,0),2)</f>
        <v>43990</v>
      </c>
      <c r="D148" s="29" t="str">
        <f t="shared" si="4"/>
        <v>#2</v>
      </c>
      <c r="E148" s="7">
        <f>Données!I25</f>
        <v>43992</v>
      </c>
      <c r="F148" s="6" t="str">
        <f>INDEX(Données!$F$2:$L$54,MATCH('#2'!E148,Données!$G$2:$G$54,1),1)</f>
        <v>24</v>
      </c>
      <c r="G148" s="18" t="str">
        <f t="shared" si="5"/>
        <v>PS-2</v>
      </c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1"/>
      <c r="W148" s="75"/>
      <c r="X148" s="75"/>
      <c r="Y148" s="75"/>
      <c r="Z148" s="96">
        <f>SUM(Tableau14[[#This Row],[A-1]:[G-5]])</f>
        <v>0</v>
      </c>
      <c r="AA148" s="96" t="str">
        <f>IF(AND(Z148&gt;0,Tableau14[[#This Row],[CDS]]=""),"Oui","Non")</f>
        <v>Non</v>
      </c>
      <c r="AB148" s="75"/>
      <c r="AC148" s="75"/>
      <c r="AD148" s="75"/>
      <c r="AE148" s="75"/>
      <c r="AF148" s="75"/>
      <c r="AG148" s="75"/>
      <c r="AH148" s="75"/>
      <c r="AI148" s="75"/>
      <c r="AJ148" s="81"/>
      <c r="AK148" s="75"/>
      <c r="AL148" s="75"/>
    </row>
    <row r="149" spans="1:38" ht="15.75" hidden="1" thickBot="1" x14ac:dyDescent="0.3">
      <c r="A149" s="75"/>
      <c r="B149" s="75"/>
      <c r="C149" s="35">
        <f>INDEX(Données!$F$2:$L$54,MATCH(F149,Données!$F$2:$F$54,0),2)</f>
        <v>43990</v>
      </c>
      <c r="D149" s="29" t="str">
        <f t="shared" si="4"/>
        <v>#2</v>
      </c>
      <c r="E149" s="7">
        <f>Données!J25</f>
        <v>43993</v>
      </c>
      <c r="F149" s="6" t="str">
        <f>INDEX(Données!$F$2:$L$54,MATCH('#2'!E149,Données!$G$2:$G$54,1),1)</f>
        <v>24</v>
      </c>
      <c r="G149" s="18" t="str">
        <f t="shared" si="5"/>
        <v>PS-2</v>
      </c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1"/>
      <c r="W149" s="75"/>
      <c r="X149" s="75"/>
      <c r="Y149" s="75"/>
      <c r="Z149" s="96">
        <f>SUM(Tableau14[[#This Row],[A-1]:[G-5]])</f>
        <v>0</v>
      </c>
      <c r="AA149" s="96" t="str">
        <f>IF(AND(Z149&gt;0,Tableau14[[#This Row],[CDS]]=""),"Oui","Non")</f>
        <v>Non</v>
      </c>
      <c r="AB149" s="75"/>
      <c r="AC149" s="75"/>
      <c r="AD149" s="75"/>
      <c r="AE149" s="75"/>
      <c r="AF149" s="75"/>
      <c r="AG149" s="75"/>
      <c r="AH149" s="75"/>
      <c r="AI149" s="75"/>
      <c r="AJ149" s="81"/>
      <c r="AK149" s="75"/>
      <c r="AL149" s="75"/>
    </row>
    <row r="150" spans="1:38" ht="15.75" hidden="1" thickBot="1" x14ac:dyDescent="0.3">
      <c r="A150" s="75"/>
      <c r="B150" s="75"/>
      <c r="C150" s="35">
        <f>INDEX(Données!$F$2:$L$54,MATCH(F150,Données!$F$2:$F$54,0),2)</f>
        <v>43990</v>
      </c>
      <c r="D150" s="29" t="str">
        <f t="shared" si="4"/>
        <v>#2</v>
      </c>
      <c r="E150" s="7">
        <f>Données!K25</f>
        <v>43994</v>
      </c>
      <c r="F150" s="6" t="str">
        <f>INDEX(Données!$F$2:$L$54,MATCH('#2'!E150,Données!$G$2:$G$54,1),1)</f>
        <v>24</v>
      </c>
      <c r="G150" s="18" t="str">
        <f t="shared" si="5"/>
        <v>PS-2</v>
      </c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1"/>
      <c r="W150" s="75"/>
      <c r="X150" s="75"/>
      <c r="Y150" s="75"/>
      <c r="Z150" s="96">
        <f>SUM(Tableau14[[#This Row],[A-1]:[G-5]])</f>
        <v>0</v>
      </c>
      <c r="AA150" s="96" t="str">
        <f>IF(AND(Z150&gt;0,Tableau14[[#This Row],[CDS]]=""),"Oui","Non")</f>
        <v>Non</v>
      </c>
      <c r="AB150" s="75"/>
      <c r="AC150" s="75"/>
      <c r="AD150" s="75"/>
      <c r="AE150" s="75"/>
      <c r="AF150" s="75"/>
      <c r="AG150" s="75"/>
      <c r="AH150" s="75"/>
      <c r="AI150" s="75"/>
      <c r="AJ150" s="81"/>
      <c r="AK150" s="75"/>
      <c r="AL150" s="75"/>
    </row>
    <row r="151" spans="1:38" ht="15.75" hidden="1" thickBot="1" x14ac:dyDescent="0.3">
      <c r="A151" s="75"/>
      <c r="B151" s="75"/>
      <c r="C151" s="35">
        <f>INDEX(Données!$F$2:$L$54,MATCH(F151,Données!$F$2:$F$54,0),2)</f>
        <v>43990</v>
      </c>
      <c r="D151" s="29" t="str">
        <f t="shared" si="4"/>
        <v>#2</v>
      </c>
      <c r="E151" s="7">
        <f>Données!L25</f>
        <v>43995</v>
      </c>
      <c r="F151" s="6" t="str">
        <f>INDEX(Données!$F$2:$L$54,MATCH('#2'!E151,Données!$G$2:$G$54,1),1)</f>
        <v>24</v>
      </c>
      <c r="G151" s="18" t="str">
        <f t="shared" si="5"/>
        <v>PS-2</v>
      </c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1"/>
      <c r="W151" s="75"/>
      <c r="X151" s="75"/>
      <c r="Y151" s="75"/>
      <c r="Z151" s="96">
        <f>SUM(Tableau14[[#This Row],[A-1]:[G-5]])</f>
        <v>0</v>
      </c>
      <c r="AA151" s="96" t="str">
        <f>IF(AND(Z151&gt;0,Tableau14[[#This Row],[CDS]]=""),"Oui","Non")</f>
        <v>Non</v>
      </c>
      <c r="AB151" s="75"/>
      <c r="AC151" s="75"/>
      <c r="AD151" s="75"/>
      <c r="AE151" s="75"/>
      <c r="AF151" s="75"/>
      <c r="AG151" s="75"/>
      <c r="AH151" s="75"/>
      <c r="AI151" s="75"/>
      <c r="AJ151" s="81"/>
      <c r="AK151" s="75"/>
      <c r="AL151" s="75"/>
    </row>
    <row r="152" spans="1:38" ht="15.75" hidden="1" thickBot="1" x14ac:dyDescent="0.3">
      <c r="A152" s="75"/>
      <c r="B152" s="75"/>
      <c r="C152" s="35">
        <f>INDEX(Données!$F$2:$L$54,MATCH(F152,Données!$F$2:$F$54,0),2)</f>
        <v>43997</v>
      </c>
      <c r="D152" s="29" t="str">
        <f t="shared" si="4"/>
        <v>#2</v>
      </c>
      <c r="E152" s="7">
        <f>Données!G26</f>
        <v>43997</v>
      </c>
      <c r="F152" s="6" t="str">
        <f>INDEX(Données!$F$2:$L$54,MATCH('#2'!E152,Données!$G$2:$G$54,1),1)</f>
        <v>25</v>
      </c>
      <c r="G152" s="18" t="str">
        <f t="shared" si="5"/>
        <v>PS-2</v>
      </c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1"/>
      <c r="W152" s="75"/>
      <c r="X152" s="75"/>
      <c r="Y152" s="75"/>
      <c r="Z152" s="96">
        <f>SUM(Tableau14[[#This Row],[A-1]:[G-5]])</f>
        <v>0</v>
      </c>
      <c r="AA152" s="96" t="str">
        <f>IF(AND(Z152&gt;0,Tableau14[[#This Row],[CDS]]=""),"Oui","Non")</f>
        <v>Non</v>
      </c>
      <c r="AB152" s="75"/>
      <c r="AC152" s="75"/>
      <c r="AD152" s="75"/>
      <c r="AE152" s="75"/>
      <c r="AF152" s="75"/>
      <c r="AG152" s="75"/>
      <c r="AH152" s="75"/>
      <c r="AI152" s="75"/>
      <c r="AJ152" s="81"/>
      <c r="AK152" s="75"/>
      <c r="AL152" s="75"/>
    </row>
    <row r="153" spans="1:38" ht="15.75" hidden="1" thickBot="1" x14ac:dyDescent="0.3">
      <c r="A153" s="75"/>
      <c r="B153" s="75"/>
      <c r="C153" s="35">
        <f>INDEX(Données!$F$2:$L$54,MATCH(F153,Données!$F$2:$F$54,0),2)</f>
        <v>43997</v>
      </c>
      <c r="D153" s="29" t="str">
        <f t="shared" si="4"/>
        <v>#2</v>
      </c>
      <c r="E153" s="7">
        <f>Données!H26</f>
        <v>43998</v>
      </c>
      <c r="F153" s="6" t="str">
        <f>INDEX(Données!$F$2:$L$54,MATCH('#2'!E153,Données!$G$2:$G$54,1),1)</f>
        <v>25</v>
      </c>
      <c r="G153" s="18" t="str">
        <f t="shared" si="5"/>
        <v>PS-2</v>
      </c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1"/>
      <c r="W153" s="75"/>
      <c r="X153" s="75"/>
      <c r="Y153" s="75"/>
      <c r="Z153" s="96">
        <f>SUM(Tableau14[[#This Row],[A-1]:[G-5]])</f>
        <v>0</v>
      </c>
      <c r="AA153" s="96" t="str">
        <f>IF(AND(Z153&gt;0,Tableau14[[#This Row],[CDS]]=""),"Oui","Non")</f>
        <v>Non</v>
      </c>
      <c r="AB153" s="75"/>
      <c r="AC153" s="75"/>
      <c r="AD153" s="75"/>
      <c r="AE153" s="75"/>
      <c r="AF153" s="75"/>
      <c r="AG153" s="75"/>
      <c r="AH153" s="75"/>
      <c r="AI153" s="75"/>
      <c r="AJ153" s="81"/>
      <c r="AK153" s="75"/>
      <c r="AL153" s="75"/>
    </row>
    <row r="154" spans="1:38" ht="15.75" hidden="1" thickBot="1" x14ac:dyDescent="0.3">
      <c r="A154" s="75"/>
      <c r="B154" s="75"/>
      <c r="C154" s="35">
        <f>INDEX(Données!$F$2:$L$54,MATCH(F154,Données!$F$2:$F$54,0),2)</f>
        <v>43997</v>
      </c>
      <c r="D154" s="29" t="str">
        <f t="shared" si="4"/>
        <v>#2</v>
      </c>
      <c r="E154" s="7">
        <f>Données!I26</f>
        <v>43999</v>
      </c>
      <c r="F154" s="6" t="str">
        <f>INDEX(Données!$F$2:$L$54,MATCH('#2'!E154,Données!$G$2:$G$54,1),1)</f>
        <v>25</v>
      </c>
      <c r="G154" s="18" t="str">
        <f t="shared" si="5"/>
        <v>PS-2</v>
      </c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1"/>
      <c r="W154" s="75"/>
      <c r="X154" s="75"/>
      <c r="Y154" s="75"/>
      <c r="Z154" s="96">
        <f>SUM(Tableau14[[#This Row],[A-1]:[G-5]])</f>
        <v>0</v>
      </c>
      <c r="AA154" s="96" t="str">
        <f>IF(AND(Z154&gt;0,Tableau14[[#This Row],[CDS]]=""),"Oui","Non")</f>
        <v>Non</v>
      </c>
      <c r="AB154" s="75"/>
      <c r="AC154" s="75"/>
      <c r="AD154" s="75"/>
      <c r="AE154" s="75"/>
      <c r="AF154" s="75"/>
      <c r="AG154" s="75"/>
      <c r="AH154" s="75"/>
      <c r="AI154" s="75"/>
      <c r="AJ154" s="81"/>
      <c r="AK154" s="75"/>
      <c r="AL154" s="75"/>
    </row>
    <row r="155" spans="1:38" ht="15.75" hidden="1" thickBot="1" x14ac:dyDescent="0.3">
      <c r="A155" s="75"/>
      <c r="B155" s="75"/>
      <c r="C155" s="35">
        <f>INDEX(Données!$F$2:$L$54,MATCH(F155,Données!$F$2:$F$54,0),2)</f>
        <v>43997</v>
      </c>
      <c r="D155" s="29" t="str">
        <f t="shared" si="4"/>
        <v>#2</v>
      </c>
      <c r="E155" s="7">
        <f>Données!J26</f>
        <v>44000</v>
      </c>
      <c r="F155" s="6" t="str">
        <f>INDEX(Données!$F$2:$L$54,MATCH('#2'!E155,Données!$G$2:$G$54,1),1)</f>
        <v>25</v>
      </c>
      <c r="G155" s="18" t="str">
        <f t="shared" si="5"/>
        <v>PS-2</v>
      </c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1"/>
      <c r="W155" s="75"/>
      <c r="X155" s="75"/>
      <c r="Y155" s="75"/>
      <c r="Z155" s="96">
        <f>SUM(Tableau14[[#This Row],[A-1]:[G-5]])</f>
        <v>0</v>
      </c>
      <c r="AA155" s="96" t="str">
        <f>IF(AND(Z155&gt;0,Tableau14[[#This Row],[CDS]]=""),"Oui","Non")</f>
        <v>Non</v>
      </c>
      <c r="AB155" s="75"/>
      <c r="AC155" s="75"/>
      <c r="AD155" s="75"/>
      <c r="AE155" s="75"/>
      <c r="AF155" s="75"/>
      <c r="AG155" s="75"/>
      <c r="AH155" s="75"/>
      <c r="AI155" s="75"/>
      <c r="AJ155" s="81"/>
      <c r="AK155" s="75"/>
      <c r="AL155" s="75"/>
    </row>
    <row r="156" spans="1:38" ht="15.75" hidden="1" thickBot="1" x14ac:dyDescent="0.3">
      <c r="A156" s="75"/>
      <c r="B156" s="75"/>
      <c r="C156" s="35">
        <f>INDEX(Données!$F$2:$L$54,MATCH(F156,Données!$F$2:$F$54,0),2)</f>
        <v>43997</v>
      </c>
      <c r="D156" s="29" t="str">
        <f t="shared" si="4"/>
        <v>#2</v>
      </c>
      <c r="E156" s="7">
        <f>Données!K26</f>
        <v>44001</v>
      </c>
      <c r="F156" s="6" t="str">
        <f>INDEX(Données!$F$2:$L$54,MATCH('#2'!E156,Données!$G$2:$G$54,1),1)</f>
        <v>25</v>
      </c>
      <c r="G156" s="18" t="str">
        <f t="shared" si="5"/>
        <v>PS-2</v>
      </c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1"/>
      <c r="W156" s="75"/>
      <c r="X156" s="75"/>
      <c r="Y156" s="75"/>
      <c r="Z156" s="96">
        <f>SUM(Tableau14[[#This Row],[A-1]:[G-5]])</f>
        <v>0</v>
      </c>
      <c r="AA156" s="96" t="str">
        <f>IF(AND(Z156&gt;0,Tableau14[[#This Row],[CDS]]=""),"Oui","Non")</f>
        <v>Non</v>
      </c>
      <c r="AB156" s="75"/>
      <c r="AC156" s="75"/>
      <c r="AD156" s="75"/>
      <c r="AE156" s="75"/>
      <c r="AF156" s="75"/>
      <c r="AG156" s="75"/>
      <c r="AH156" s="75"/>
      <c r="AI156" s="75"/>
      <c r="AJ156" s="81"/>
      <c r="AK156" s="75"/>
      <c r="AL156" s="75"/>
    </row>
    <row r="157" spans="1:38" ht="15.75" hidden="1" thickBot="1" x14ac:dyDescent="0.3">
      <c r="A157" s="75"/>
      <c r="B157" s="75"/>
      <c r="C157" s="35">
        <f>INDEX(Données!$F$2:$L$54,MATCH(F157,Données!$F$2:$F$54,0),2)</f>
        <v>43997</v>
      </c>
      <c r="D157" s="29" t="str">
        <f t="shared" si="4"/>
        <v>#2</v>
      </c>
      <c r="E157" s="7">
        <f>Données!L26</f>
        <v>44002</v>
      </c>
      <c r="F157" s="6" t="str">
        <f>INDEX(Données!$F$2:$L$54,MATCH('#2'!E157,Données!$G$2:$G$54,1),1)</f>
        <v>25</v>
      </c>
      <c r="G157" s="18" t="str">
        <f t="shared" si="5"/>
        <v>PS-2</v>
      </c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1"/>
      <c r="W157" s="75"/>
      <c r="X157" s="75"/>
      <c r="Y157" s="75"/>
      <c r="Z157" s="96">
        <f>SUM(Tableau14[[#This Row],[A-1]:[G-5]])</f>
        <v>0</v>
      </c>
      <c r="AA157" s="96" t="str">
        <f>IF(AND(Z157&gt;0,Tableau14[[#This Row],[CDS]]=""),"Oui","Non")</f>
        <v>Non</v>
      </c>
      <c r="AB157" s="75"/>
      <c r="AC157" s="75"/>
      <c r="AD157" s="75"/>
      <c r="AE157" s="75"/>
      <c r="AF157" s="75"/>
      <c r="AG157" s="75"/>
      <c r="AH157" s="75"/>
      <c r="AI157" s="75"/>
      <c r="AJ157" s="81"/>
      <c r="AK157" s="75"/>
      <c r="AL157" s="75"/>
    </row>
    <row r="158" spans="1:38" ht="15.75" hidden="1" thickBot="1" x14ac:dyDescent="0.3">
      <c r="A158" s="75"/>
      <c r="B158" s="75"/>
      <c r="C158" s="35">
        <f>INDEX(Données!$F$2:$L$54,MATCH(F158,Données!$F$2:$F$54,0),2)</f>
        <v>44004</v>
      </c>
      <c r="D158" s="29" t="str">
        <f t="shared" si="4"/>
        <v>#2</v>
      </c>
      <c r="E158" s="7">
        <f>Données!G27</f>
        <v>44004</v>
      </c>
      <c r="F158" s="6" t="str">
        <f>INDEX(Données!$F$2:$L$54,MATCH('#2'!E158,Données!$G$2:$G$54,1),1)</f>
        <v>26</v>
      </c>
      <c r="G158" s="18" t="str">
        <f t="shared" si="5"/>
        <v>PS-2</v>
      </c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1"/>
      <c r="W158" s="75"/>
      <c r="X158" s="75"/>
      <c r="Y158" s="75"/>
      <c r="Z158" s="96">
        <f>SUM(Tableau14[[#This Row],[A-1]:[G-5]])</f>
        <v>0</v>
      </c>
      <c r="AA158" s="96" t="str">
        <f>IF(AND(Z158&gt;0,Tableau14[[#This Row],[CDS]]=""),"Oui","Non")</f>
        <v>Non</v>
      </c>
      <c r="AB158" s="75"/>
      <c r="AC158" s="75"/>
      <c r="AD158" s="75"/>
      <c r="AE158" s="75"/>
      <c r="AF158" s="75"/>
      <c r="AG158" s="75"/>
      <c r="AH158" s="75"/>
      <c r="AI158" s="75"/>
      <c r="AJ158" s="81"/>
      <c r="AK158" s="75"/>
      <c r="AL158" s="75"/>
    </row>
    <row r="159" spans="1:38" ht="15.75" hidden="1" thickBot="1" x14ac:dyDescent="0.3">
      <c r="A159" s="75"/>
      <c r="B159" s="75"/>
      <c r="C159" s="35">
        <f>INDEX(Données!$F$2:$L$54,MATCH(F159,Données!$F$2:$F$54,0),2)</f>
        <v>44004</v>
      </c>
      <c r="D159" s="29" t="str">
        <f t="shared" si="4"/>
        <v>#2</v>
      </c>
      <c r="E159" s="7">
        <f>Données!H27</f>
        <v>44005</v>
      </c>
      <c r="F159" s="6" t="str">
        <f>INDEX(Données!$F$2:$L$54,MATCH('#2'!E159,Données!$G$2:$G$54,1),1)</f>
        <v>26</v>
      </c>
      <c r="G159" s="18" t="str">
        <f t="shared" si="5"/>
        <v>PS-2</v>
      </c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1"/>
      <c r="W159" s="75"/>
      <c r="X159" s="75"/>
      <c r="Y159" s="75"/>
      <c r="Z159" s="96">
        <f>SUM(Tableau14[[#This Row],[A-1]:[G-5]])</f>
        <v>0</v>
      </c>
      <c r="AA159" s="96" t="str">
        <f>IF(AND(Z159&gt;0,Tableau14[[#This Row],[CDS]]=""),"Oui","Non")</f>
        <v>Non</v>
      </c>
      <c r="AB159" s="75"/>
      <c r="AC159" s="75"/>
      <c r="AD159" s="75"/>
      <c r="AE159" s="75"/>
      <c r="AF159" s="75"/>
      <c r="AG159" s="75"/>
      <c r="AH159" s="75"/>
      <c r="AI159" s="75"/>
      <c r="AJ159" s="81"/>
      <c r="AK159" s="75"/>
      <c r="AL159" s="75"/>
    </row>
    <row r="160" spans="1:38" ht="15.75" hidden="1" thickBot="1" x14ac:dyDescent="0.3">
      <c r="A160" s="75"/>
      <c r="B160" s="75"/>
      <c r="C160" s="35">
        <f>INDEX(Données!$F$2:$L$54,MATCH(F160,Données!$F$2:$F$54,0),2)</f>
        <v>44004</v>
      </c>
      <c r="D160" s="29" t="str">
        <f t="shared" si="4"/>
        <v>#2</v>
      </c>
      <c r="E160" s="7">
        <f>Données!I27</f>
        <v>44006</v>
      </c>
      <c r="F160" s="6" t="str">
        <f>INDEX(Données!$F$2:$L$54,MATCH('#2'!E160,Données!$G$2:$G$54,1),1)</f>
        <v>26</v>
      </c>
      <c r="G160" s="18" t="str">
        <f t="shared" si="5"/>
        <v>PS-2</v>
      </c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1"/>
      <c r="W160" s="75"/>
      <c r="X160" s="75"/>
      <c r="Y160" s="75"/>
      <c r="Z160" s="96">
        <f>SUM(Tableau14[[#This Row],[A-1]:[G-5]])</f>
        <v>0</v>
      </c>
      <c r="AA160" s="96" t="str">
        <f>IF(AND(Z160&gt;0,Tableau14[[#This Row],[CDS]]=""),"Oui","Non")</f>
        <v>Non</v>
      </c>
      <c r="AB160" s="75"/>
      <c r="AC160" s="75"/>
      <c r="AD160" s="75"/>
      <c r="AE160" s="75"/>
      <c r="AF160" s="75"/>
      <c r="AG160" s="75"/>
      <c r="AH160" s="75"/>
      <c r="AI160" s="75"/>
      <c r="AJ160" s="81"/>
      <c r="AK160" s="75"/>
      <c r="AL160" s="75"/>
    </row>
    <row r="161" spans="1:38" ht="15.75" hidden="1" thickBot="1" x14ac:dyDescent="0.3">
      <c r="A161" s="75"/>
      <c r="B161" s="75"/>
      <c r="C161" s="35">
        <f>INDEX(Données!$F$2:$L$54,MATCH(F161,Données!$F$2:$F$54,0),2)</f>
        <v>44004</v>
      </c>
      <c r="D161" s="29" t="str">
        <f t="shared" si="4"/>
        <v>#2</v>
      </c>
      <c r="E161" s="7">
        <f>Données!J27</f>
        <v>44007</v>
      </c>
      <c r="F161" s="6" t="str">
        <f>INDEX(Données!$F$2:$L$54,MATCH('#2'!E161,Données!$G$2:$G$54,1),1)</f>
        <v>26</v>
      </c>
      <c r="G161" s="18" t="str">
        <f t="shared" si="5"/>
        <v>PS-2</v>
      </c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1"/>
      <c r="W161" s="75"/>
      <c r="X161" s="75"/>
      <c r="Y161" s="75"/>
      <c r="Z161" s="96">
        <f>SUM(Tableau14[[#This Row],[A-1]:[G-5]])</f>
        <v>0</v>
      </c>
      <c r="AA161" s="96" t="str">
        <f>IF(AND(Z161&gt;0,Tableau14[[#This Row],[CDS]]=""),"Oui","Non")</f>
        <v>Non</v>
      </c>
      <c r="AB161" s="75"/>
      <c r="AC161" s="75"/>
      <c r="AD161" s="75"/>
      <c r="AE161" s="75"/>
      <c r="AF161" s="75"/>
      <c r="AG161" s="75"/>
      <c r="AH161" s="75"/>
      <c r="AI161" s="75"/>
      <c r="AJ161" s="81"/>
      <c r="AK161" s="75"/>
      <c r="AL161" s="75"/>
    </row>
    <row r="162" spans="1:38" ht="15.75" hidden="1" thickBot="1" x14ac:dyDescent="0.3">
      <c r="A162" s="75"/>
      <c r="B162" s="75"/>
      <c r="C162" s="35">
        <f>INDEX(Données!$F$2:$L$54,MATCH(F162,Données!$F$2:$F$54,0),2)</f>
        <v>44004</v>
      </c>
      <c r="D162" s="29" t="str">
        <f t="shared" si="4"/>
        <v>#2</v>
      </c>
      <c r="E162" s="7">
        <f>Données!K27</f>
        <v>44008</v>
      </c>
      <c r="F162" s="6" t="str">
        <f>INDEX(Données!$F$2:$L$54,MATCH('#2'!E162,Données!$G$2:$G$54,1),1)</f>
        <v>26</v>
      </c>
      <c r="G162" s="18" t="str">
        <f t="shared" si="5"/>
        <v>PS-2</v>
      </c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1"/>
      <c r="W162" s="75"/>
      <c r="X162" s="75"/>
      <c r="Y162" s="75"/>
      <c r="Z162" s="96">
        <f>SUM(Tableau14[[#This Row],[A-1]:[G-5]])</f>
        <v>0</v>
      </c>
      <c r="AA162" s="96" t="str">
        <f>IF(AND(Z162&gt;0,Tableau14[[#This Row],[CDS]]=""),"Oui","Non")</f>
        <v>Non</v>
      </c>
      <c r="AB162" s="75"/>
      <c r="AC162" s="75"/>
      <c r="AD162" s="75"/>
      <c r="AE162" s="75"/>
      <c r="AF162" s="75"/>
      <c r="AG162" s="75"/>
      <c r="AH162" s="75"/>
      <c r="AI162" s="75"/>
      <c r="AJ162" s="81"/>
      <c r="AK162" s="75"/>
      <c r="AL162" s="75"/>
    </row>
    <row r="163" spans="1:38" ht="15.75" hidden="1" thickBot="1" x14ac:dyDescent="0.3">
      <c r="A163" s="75"/>
      <c r="B163" s="75"/>
      <c r="C163" s="35">
        <f>INDEX(Données!$F$2:$L$54,MATCH(F163,Données!$F$2:$F$54,0),2)</f>
        <v>44004</v>
      </c>
      <c r="D163" s="29" t="str">
        <f t="shared" si="4"/>
        <v>#2</v>
      </c>
      <c r="E163" s="7">
        <f>Données!L27</f>
        <v>44009</v>
      </c>
      <c r="F163" s="6" t="str">
        <f>INDEX(Données!$F$2:$L$54,MATCH('#2'!E163,Données!$G$2:$G$54,1),1)</f>
        <v>26</v>
      </c>
      <c r="G163" s="18" t="str">
        <f t="shared" si="5"/>
        <v>PS-2</v>
      </c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1"/>
      <c r="W163" s="75"/>
      <c r="X163" s="75"/>
      <c r="Y163" s="75"/>
      <c r="Z163" s="96">
        <f>SUM(Tableau14[[#This Row],[A-1]:[G-5]])</f>
        <v>0</v>
      </c>
      <c r="AA163" s="96" t="str">
        <f>IF(AND(Z163&gt;0,Tableau14[[#This Row],[CDS]]=""),"Oui","Non")</f>
        <v>Non</v>
      </c>
      <c r="AB163" s="75"/>
      <c r="AC163" s="75"/>
      <c r="AD163" s="75"/>
      <c r="AE163" s="75"/>
      <c r="AF163" s="75"/>
      <c r="AG163" s="75"/>
      <c r="AH163" s="75"/>
      <c r="AI163" s="75"/>
      <c r="AJ163" s="81"/>
      <c r="AK163" s="75"/>
      <c r="AL163" s="75"/>
    </row>
    <row r="164" spans="1:38" ht="15.75" hidden="1" thickBot="1" x14ac:dyDescent="0.3">
      <c r="A164" s="75"/>
      <c r="B164" s="75"/>
      <c r="C164" s="35">
        <f>INDEX(Données!$F$2:$L$54,MATCH(F164,Données!$F$2:$F$54,0),2)</f>
        <v>44011</v>
      </c>
      <c r="D164" s="29" t="str">
        <f t="shared" si="4"/>
        <v>#2</v>
      </c>
      <c r="E164" s="7">
        <f>Données!G28</f>
        <v>44011</v>
      </c>
      <c r="F164" s="6" t="str">
        <f>INDEX(Données!$F$2:$L$54,MATCH('#2'!E164,Données!$G$2:$G$54,1),1)</f>
        <v>27</v>
      </c>
      <c r="G164" s="18" t="str">
        <f t="shared" si="5"/>
        <v>PS-2</v>
      </c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1"/>
      <c r="W164" s="75"/>
      <c r="X164" s="75"/>
      <c r="Y164" s="75"/>
      <c r="Z164" s="96">
        <f>SUM(Tableau14[[#This Row],[A-1]:[G-5]])</f>
        <v>0</v>
      </c>
      <c r="AA164" s="96" t="str">
        <f>IF(AND(Z164&gt;0,Tableau14[[#This Row],[CDS]]=""),"Oui","Non")</f>
        <v>Non</v>
      </c>
      <c r="AB164" s="75"/>
      <c r="AC164" s="75"/>
      <c r="AD164" s="75"/>
      <c r="AE164" s="75"/>
      <c r="AF164" s="75"/>
      <c r="AG164" s="75"/>
      <c r="AH164" s="75"/>
      <c r="AI164" s="75"/>
      <c r="AJ164" s="81"/>
      <c r="AK164" s="75"/>
      <c r="AL164" s="75"/>
    </row>
    <row r="165" spans="1:38" ht="15.75" hidden="1" thickBot="1" x14ac:dyDescent="0.3">
      <c r="A165" s="75"/>
      <c r="B165" s="75"/>
      <c r="C165" s="35">
        <f>INDEX(Données!$F$2:$L$54,MATCH(F165,Données!$F$2:$F$54,0),2)</f>
        <v>44011</v>
      </c>
      <c r="D165" s="29" t="str">
        <f t="shared" si="4"/>
        <v>#2</v>
      </c>
      <c r="E165" s="7">
        <f>Données!H28</f>
        <v>44012</v>
      </c>
      <c r="F165" s="6" t="str">
        <f>INDEX(Données!$F$2:$L$54,MATCH('#2'!E165,Données!$G$2:$G$54,1),1)</f>
        <v>27</v>
      </c>
      <c r="G165" s="18" t="str">
        <f t="shared" si="5"/>
        <v>PS-2</v>
      </c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1"/>
      <c r="W165" s="75"/>
      <c r="X165" s="75"/>
      <c r="Y165" s="75"/>
      <c r="Z165" s="96">
        <f>SUM(Tableau14[[#This Row],[A-1]:[G-5]])</f>
        <v>0</v>
      </c>
      <c r="AA165" s="96" t="str">
        <f>IF(AND(Z165&gt;0,Tableau14[[#This Row],[CDS]]=""),"Oui","Non")</f>
        <v>Non</v>
      </c>
      <c r="AB165" s="75"/>
      <c r="AC165" s="75"/>
      <c r="AD165" s="75"/>
      <c r="AE165" s="75"/>
      <c r="AF165" s="75"/>
      <c r="AG165" s="75"/>
      <c r="AH165" s="75"/>
      <c r="AI165" s="75"/>
      <c r="AJ165" s="81"/>
      <c r="AK165" s="75"/>
      <c r="AL165" s="75"/>
    </row>
    <row r="166" spans="1:38" ht="15.75" hidden="1" thickBot="1" x14ac:dyDescent="0.3">
      <c r="A166" s="75"/>
      <c r="B166" s="75"/>
      <c r="C166" s="35">
        <f>INDEX(Données!$F$2:$L$54,MATCH(F166,Données!$F$2:$F$54,0),2)</f>
        <v>44011</v>
      </c>
      <c r="D166" s="29" t="str">
        <f t="shared" si="4"/>
        <v>#2</v>
      </c>
      <c r="E166" s="7">
        <f>Données!I28</f>
        <v>44013</v>
      </c>
      <c r="F166" s="6" t="str">
        <f>INDEX(Données!$F$2:$L$54,MATCH('#2'!E166,Données!$G$2:$G$54,1),1)</f>
        <v>27</v>
      </c>
      <c r="G166" s="18" t="str">
        <f t="shared" si="5"/>
        <v>PS-2</v>
      </c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1"/>
      <c r="W166" s="75"/>
      <c r="X166" s="75"/>
      <c r="Y166" s="75"/>
      <c r="Z166" s="96">
        <f>SUM(Tableau14[[#This Row],[A-1]:[G-5]])</f>
        <v>0</v>
      </c>
      <c r="AA166" s="96" t="str">
        <f>IF(AND(Z166&gt;0,Tableau14[[#This Row],[CDS]]=""),"Oui","Non")</f>
        <v>Non</v>
      </c>
      <c r="AB166" s="75"/>
      <c r="AC166" s="75"/>
      <c r="AD166" s="75"/>
      <c r="AE166" s="75"/>
      <c r="AF166" s="75"/>
      <c r="AG166" s="75"/>
      <c r="AH166" s="75"/>
      <c r="AI166" s="75"/>
      <c r="AJ166" s="81"/>
      <c r="AK166" s="75"/>
      <c r="AL166" s="75"/>
    </row>
    <row r="167" spans="1:38" ht="15.75" hidden="1" thickBot="1" x14ac:dyDescent="0.3">
      <c r="A167" s="75"/>
      <c r="B167" s="75"/>
      <c r="C167" s="35">
        <f>INDEX(Données!$F$2:$L$54,MATCH(F167,Données!$F$2:$F$54,0),2)</f>
        <v>44011</v>
      </c>
      <c r="D167" s="29" t="str">
        <f t="shared" si="4"/>
        <v>#2</v>
      </c>
      <c r="E167" s="7">
        <f>Données!J28</f>
        <v>44014</v>
      </c>
      <c r="F167" s="6" t="str">
        <f>INDEX(Données!$F$2:$L$54,MATCH('#2'!E167,Données!$G$2:$G$54,1),1)</f>
        <v>27</v>
      </c>
      <c r="G167" s="18" t="str">
        <f t="shared" si="5"/>
        <v>PS-2</v>
      </c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1"/>
      <c r="W167" s="75"/>
      <c r="X167" s="75"/>
      <c r="Y167" s="75"/>
      <c r="Z167" s="96">
        <f>SUM(Tableau14[[#This Row],[A-1]:[G-5]])</f>
        <v>0</v>
      </c>
      <c r="AA167" s="96" t="str">
        <f>IF(AND(Z167&gt;0,Tableau14[[#This Row],[CDS]]=""),"Oui","Non")</f>
        <v>Non</v>
      </c>
      <c r="AB167" s="75"/>
      <c r="AC167" s="75"/>
      <c r="AD167" s="75"/>
      <c r="AE167" s="75"/>
      <c r="AF167" s="75"/>
      <c r="AG167" s="75"/>
      <c r="AH167" s="75"/>
      <c r="AI167" s="75"/>
      <c r="AJ167" s="81"/>
      <c r="AK167" s="75"/>
      <c r="AL167" s="75"/>
    </row>
    <row r="168" spans="1:38" ht="15.75" hidden="1" thickBot="1" x14ac:dyDescent="0.3">
      <c r="A168" s="75"/>
      <c r="B168" s="75"/>
      <c r="C168" s="35">
        <f>INDEX(Données!$F$2:$L$54,MATCH(F168,Données!$F$2:$F$54,0),2)</f>
        <v>44011</v>
      </c>
      <c r="D168" s="29" t="str">
        <f t="shared" si="4"/>
        <v>#2</v>
      </c>
      <c r="E168" s="7">
        <f>Données!K28</f>
        <v>44015</v>
      </c>
      <c r="F168" s="6" t="str">
        <f>INDEX(Données!$F$2:$L$54,MATCH('#2'!E168,Données!$G$2:$G$54,1),1)</f>
        <v>27</v>
      </c>
      <c r="G168" s="18" t="str">
        <f t="shared" si="5"/>
        <v>PS-2</v>
      </c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1"/>
      <c r="W168" s="75"/>
      <c r="X168" s="75"/>
      <c r="Y168" s="75"/>
      <c r="Z168" s="96">
        <f>SUM(Tableau14[[#This Row],[A-1]:[G-5]])</f>
        <v>0</v>
      </c>
      <c r="AA168" s="96" t="str">
        <f>IF(AND(Z168&gt;0,Tableau14[[#This Row],[CDS]]=""),"Oui","Non")</f>
        <v>Non</v>
      </c>
      <c r="AB168" s="75"/>
      <c r="AC168" s="75"/>
      <c r="AD168" s="75"/>
      <c r="AE168" s="75"/>
      <c r="AF168" s="75"/>
      <c r="AG168" s="75"/>
      <c r="AH168" s="75"/>
      <c r="AI168" s="75"/>
      <c r="AJ168" s="81"/>
      <c r="AK168" s="75"/>
      <c r="AL168" s="75"/>
    </row>
    <row r="169" spans="1:38" ht="15.75" hidden="1" thickBot="1" x14ac:dyDescent="0.3">
      <c r="A169" s="75"/>
      <c r="B169" s="75"/>
      <c r="C169" s="35">
        <f>INDEX(Données!$F$2:$L$54,MATCH(F169,Données!$F$2:$F$54,0),2)</f>
        <v>44011</v>
      </c>
      <c r="D169" s="29" t="str">
        <f t="shared" si="4"/>
        <v>#2</v>
      </c>
      <c r="E169" s="7">
        <f>Données!L28</f>
        <v>44016</v>
      </c>
      <c r="F169" s="6" t="str">
        <f>INDEX(Données!$F$2:$L$54,MATCH('#2'!E169,Données!$G$2:$G$54,1),1)</f>
        <v>27</v>
      </c>
      <c r="G169" s="18" t="str">
        <f t="shared" si="5"/>
        <v>PS-2</v>
      </c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1"/>
      <c r="W169" s="75"/>
      <c r="X169" s="75"/>
      <c r="Y169" s="75"/>
      <c r="Z169" s="96">
        <f>SUM(Tableau14[[#This Row],[A-1]:[G-5]])</f>
        <v>0</v>
      </c>
      <c r="AA169" s="96" t="str">
        <f>IF(AND(Z169&gt;0,Tableau14[[#This Row],[CDS]]=""),"Oui","Non")</f>
        <v>Non</v>
      </c>
      <c r="AB169" s="75"/>
      <c r="AC169" s="75"/>
      <c r="AD169" s="75"/>
      <c r="AE169" s="75"/>
      <c r="AF169" s="75"/>
      <c r="AG169" s="75"/>
      <c r="AH169" s="75"/>
      <c r="AI169" s="75"/>
      <c r="AJ169" s="81"/>
      <c r="AK169" s="75"/>
      <c r="AL169" s="75"/>
    </row>
    <row r="170" spans="1:38" ht="15.75" hidden="1" thickBot="1" x14ac:dyDescent="0.3">
      <c r="A170" s="75"/>
      <c r="B170" s="75"/>
      <c r="C170" s="35">
        <f>INDEX(Données!$F$2:$L$54,MATCH(F170,Données!$F$2:$F$54,0),2)</f>
        <v>44018</v>
      </c>
      <c r="D170" s="29" t="str">
        <f t="shared" si="4"/>
        <v>#2</v>
      </c>
      <c r="E170" s="7">
        <f>Données!G29</f>
        <v>44018</v>
      </c>
      <c r="F170" s="6" t="str">
        <f>INDEX(Données!$F$2:$L$54,MATCH('#2'!E170,Données!$G$2:$G$54,1),1)</f>
        <v>28</v>
      </c>
      <c r="G170" s="18" t="str">
        <f t="shared" si="5"/>
        <v>PS-2</v>
      </c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1"/>
      <c r="W170" s="75"/>
      <c r="X170" s="75"/>
      <c r="Y170" s="75"/>
      <c r="Z170" s="96">
        <f>SUM(Tableau14[[#This Row],[A-1]:[G-5]])</f>
        <v>0</v>
      </c>
      <c r="AA170" s="96" t="str">
        <f>IF(AND(Z170&gt;0,Tableau14[[#This Row],[CDS]]=""),"Oui","Non")</f>
        <v>Non</v>
      </c>
      <c r="AB170" s="75"/>
      <c r="AC170" s="75"/>
      <c r="AD170" s="75"/>
      <c r="AE170" s="75"/>
      <c r="AF170" s="75"/>
      <c r="AG170" s="75"/>
      <c r="AH170" s="75"/>
      <c r="AI170" s="75"/>
      <c r="AJ170" s="81"/>
      <c r="AK170" s="75"/>
      <c r="AL170" s="75"/>
    </row>
    <row r="171" spans="1:38" ht="15.75" hidden="1" thickBot="1" x14ac:dyDescent="0.3">
      <c r="A171" s="75"/>
      <c r="B171" s="75"/>
      <c r="C171" s="35">
        <f>INDEX(Données!$F$2:$L$54,MATCH(F171,Données!$F$2:$F$54,0),2)</f>
        <v>44018</v>
      </c>
      <c r="D171" s="29" t="str">
        <f t="shared" si="4"/>
        <v>#2</v>
      </c>
      <c r="E171" s="7">
        <f>Données!H29</f>
        <v>44019</v>
      </c>
      <c r="F171" s="6" t="str">
        <f>INDEX(Données!$F$2:$L$54,MATCH('#2'!E171,Données!$G$2:$G$54,1),1)</f>
        <v>28</v>
      </c>
      <c r="G171" s="18" t="str">
        <f t="shared" si="5"/>
        <v>PS-2</v>
      </c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1"/>
      <c r="W171" s="75"/>
      <c r="X171" s="75"/>
      <c r="Y171" s="75"/>
      <c r="Z171" s="96">
        <f>SUM(Tableau14[[#This Row],[A-1]:[G-5]])</f>
        <v>0</v>
      </c>
      <c r="AA171" s="96" t="str">
        <f>IF(AND(Z171&gt;0,Tableau14[[#This Row],[CDS]]=""),"Oui","Non")</f>
        <v>Non</v>
      </c>
      <c r="AB171" s="75"/>
      <c r="AC171" s="75"/>
      <c r="AD171" s="75"/>
      <c r="AE171" s="75"/>
      <c r="AF171" s="75"/>
      <c r="AG171" s="75"/>
      <c r="AH171" s="75"/>
      <c r="AI171" s="75"/>
      <c r="AJ171" s="81"/>
      <c r="AK171" s="75"/>
      <c r="AL171" s="75"/>
    </row>
    <row r="172" spans="1:38" ht="15.75" hidden="1" thickBot="1" x14ac:dyDescent="0.3">
      <c r="A172" s="75"/>
      <c r="B172" s="75"/>
      <c r="C172" s="35">
        <f>INDEX(Données!$F$2:$L$54,MATCH(F172,Données!$F$2:$F$54,0),2)</f>
        <v>44018</v>
      </c>
      <c r="D172" s="29" t="str">
        <f t="shared" si="4"/>
        <v>#2</v>
      </c>
      <c r="E172" s="7">
        <f>Données!I29</f>
        <v>44020</v>
      </c>
      <c r="F172" s="6" t="str">
        <f>INDEX(Données!$F$2:$L$54,MATCH('#2'!E172,Données!$G$2:$G$54,1),1)</f>
        <v>28</v>
      </c>
      <c r="G172" s="18" t="str">
        <f t="shared" si="5"/>
        <v>PS-2</v>
      </c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1"/>
      <c r="W172" s="75"/>
      <c r="X172" s="75"/>
      <c r="Y172" s="75"/>
      <c r="Z172" s="96">
        <f>SUM(Tableau14[[#This Row],[A-1]:[G-5]])</f>
        <v>0</v>
      </c>
      <c r="AA172" s="96" t="str">
        <f>IF(AND(Z172&gt;0,Tableau14[[#This Row],[CDS]]=""),"Oui","Non")</f>
        <v>Non</v>
      </c>
      <c r="AB172" s="75"/>
      <c r="AC172" s="75"/>
      <c r="AD172" s="75"/>
      <c r="AE172" s="75"/>
      <c r="AF172" s="75"/>
      <c r="AG172" s="75"/>
      <c r="AH172" s="75"/>
      <c r="AI172" s="75"/>
      <c r="AJ172" s="81"/>
      <c r="AK172" s="75"/>
      <c r="AL172" s="75"/>
    </row>
    <row r="173" spans="1:38" ht="15.75" hidden="1" thickBot="1" x14ac:dyDescent="0.3">
      <c r="A173" s="75"/>
      <c r="B173" s="75"/>
      <c r="C173" s="35">
        <f>INDEX(Données!$F$2:$L$54,MATCH(F173,Données!$F$2:$F$54,0),2)</f>
        <v>44018</v>
      </c>
      <c r="D173" s="29" t="str">
        <f t="shared" si="4"/>
        <v>#2</v>
      </c>
      <c r="E173" s="7">
        <f>Données!J29</f>
        <v>44021</v>
      </c>
      <c r="F173" s="6" t="str">
        <f>INDEX(Données!$F$2:$L$54,MATCH('#2'!E173,Données!$G$2:$G$54,1),1)</f>
        <v>28</v>
      </c>
      <c r="G173" s="18" t="str">
        <f t="shared" si="5"/>
        <v>PS-2</v>
      </c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1"/>
      <c r="W173" s="75"/>
      <c r="X173" s="75"/>
      <c r="Y173" s="75"/>
      <c r="Z173" s="96">
        <f>SUM(Tableau14[[#This Row],[A-1]:[G-5]])</f>
        <v>0</v>
      </c>
      <c r="AA173" s="96" t="str">
        <f>IF(AND(Z173&gt;0,Tableau14[[#This Row],[CDS]]=""),"Oui","Non")</f>
        <v>Non</v>
      </c>
      <c r="AB173" s="75"/>
      <c r="AC173" s="75"/>
      <c r="AD173" s="75"/>
      <c r="AE173" s="75"/>
      <c r="AF173" s="75"/>
      <c r="AG173" s="75"/>
      <c r="AH173" s="75"/>
      <c r="AI173" s="75"/>
      <c r="AJ173" s="81"/>
      <c r="AK173" s="75"/>
      <c r="AL173" s="75"/>
    </row>
    <row r="174" spans="1:38" ht="15.75" hidden="1" thickBot="1" x14ac:dyDescent="0.3">
      <c r="A174" s="75"/>
      <c r="B174" s="75"/>
      <c r="C174" s="35">
        <f>INDEX(Données!$F$2:$L$54,MATCH(F174,Données!$F$2:$F$54,0),2)</f>
        <v>44018</v>
      </c>
      <c r="D174" s="29" t="str">
        <f t="shared" si="4"/>
        <v>#2</v>
      </c>
      <c r="E174" s="7">
        <f>Données!K29</f>
        <v>44022</v>
      </c>
      <c r="F174" s="6" t="str">
        <f>INDEX(Données!$F$2:$L$54,MATCH('#2'!E174,Données!$G$2:$G$54,1),1)</f>
        <v>28</v>
      </c>
      <c r="G174" s="18" t="str">
        <f t="shared" si="5"/>
        <v>PS-2</v>
      </c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1"/>
      <c r="W174" s="75"/>
      <c r="X174" s="75"/>
      <c r="Y174" s="75"/>
      <c r="Z174" s="96">
        <f>SUM(Tableau14[[#This Row],[A-1]:[G-5]])</f>
        <v>0</v>
      </c>
      <c r="AA174" s="96" t="str">
        <f>IF(AND(Z174&gt;0,Tableau14[[#This Row],[CDS]]=""),"Oui","Non")</f>
        <v>Non</v>
      </c>
      <c r="AB174" s="75"/>
      <c r="AC174" s="75"/>
      <c r="AD174" s="75"/>
      <c r="AE174" s="75"/>
      <c r="AF174" s="75"/>
      <c r="AG174" s="75"/>
      <c r="AH174" s="75"/>
      <c r="AI174" s="75"/>
      <c r="AJ174" s="81"/>
      <c r="AK174" s="75"/>
      <c r="AL174" s="75"/>
    </row>
    <row r="175" spans="1:38" ht="15.75" hidden="1" thickBot="1" x14ac:dyDescent="0.3">
      <c r="A175" s="75"/>
      <c r="B175" s="75"/>
      <c r="C175" s="35">
        <f>INDEX(Données!$F$2:$L$54,MATCH(F175,Données!$F$2:$F$54,0),2)</f>
        <v>44018</v>
      </c>
      <c r="D175" s="29" t="str">
        <f t="shared" si="4"/>
        <v>#2</v>
      </c>
      <c r="E175" s="7">
        <f>Données!L29</f>
        <v>44023</v>
      </c>
      <c r="F175" s="6" t="str">
        <f>INDEX(Données!$F$2:$L$54,MATCH('#2'!E175,Données!$G$2:$G$54,1),1)</f>
        <v>28</v>
      </c>
      <c r="G175" s="18" t="str">
        <f t="shared" si="5"/>
        <v>PS-2</v>
      </c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1"/>
      <c r="W175" s="75"/>
      <c r="X175" s="75"/>
      <c r="Y175" s="75"/>
      <c r="Z175" s="96">
        <f>SUM(Tableau14[[#This Row],[A-1]:[G-5]])</f>
        <v>0</v>
      </c>
      <c r="AA175" s="96" t="str">
        <f>IF(AND(Z175&gt;0,Tableau14[[#This Row],[CDS]]=""),"Oui","Non")</f>
        <v>Non</v>
      </c>
      <c r="AB175" s="75"/>
      <c r="AC175" s="75"/>
      <c r="AD175" s="75"/>
      <c r="AE175" s="75"/>
      <c r="AF175" s="75"/>
      <c r="AG175" s="75"/>
      <c r="AH175" s="75"/>
      <c r="AI175" s="75"/>
      <c r="AJ175" s="81"/>
      <c r="AK175" s="75"/>
      <c r="AL175" s="75"/>
    </row>
    <row r="176" spans="1:38" ht="15.75" hidden="1" thickBot="1" x14ac:dyDescent="0.3">
      <c r="A176" s="75"/>
      <c r="B176" s="75"/>
      <c r="C176" s="35">
        <f>INDEX(Données!$F$2:$L$54,MATCH(F176,Données!$F$2:$F$54,0),2)</f>
        <v>44025</v>
      </c>
      <c r="D176" s="29" t="str">
        <f t="shared" si="4"/>
        <v>#2</v>
      </c>
      <c r="E176" s="7">
        <f>Données!G30</f>
        <v>44025</v>
      </c>
      <c r="F176" s="6" t="str">
        <f>INDEX(Données!$F$2:$L$54,MATCH('#2'!E176,Données!$G$2:$G$54,1),1)</f>
        <v>29</v>
      </c>
      <c r="G176" s="18" t="str">
        <f t="shared" si="5"/>
        <v>PS-2</v>
      </c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1"/>
      <c r="W176" s="75"/>
      <c r="X176" s="75"/>
      <c r="Y176" s="75"/>
      <c r="Z176" s="96">
        <f>SUM(Tableau14[[#This Row],[A-1]:[G-5]])</f>
        <v>0</v>
      </c>
      <c r="AA176" s="96" t="str">
        <f>IF(AND(Z176&gt;0,Tableau14[[#This Row],[CDS]]=""),"Oui","Non")</f>
        <v>Non</v>
      </c>
      <c r="AB176" s="75"/>
      <c r="AC176" s="75"/>
      <c r="AD176" s="75"/>
      <c r="AE176" s="75"/>
      <c r="AF176" s="75"/>
      <c r="AG176" s="75"/>
      <c r="AH176" s="75"/>
      <c r="AI176" s="75"/>
      <c r="AJ176" s="81"/>
      <c r="AK176" s="75"/>
      <c r="AL176" s="75"/>
    </row>
    <row r="177" spans="1:38" ht="15.75" hidden="1" thickBot="1" x14ac:dyDescent="0.3">
      <c r="A177" s="75"/>
      <c r="B177" s="75"/>
      <c r="C177" s="35">
        <f>INDEX(Données!$F$2:$L$54,MATCH(F177,Données!$F$2:$F$54,0),2)</f>
        <v>44025</v>
      </c>
      <c r="D177" s="29" t="str">
        <f t="shared" si="4"/>
        <v>#2</v>
      </c>
      <c r="E177" s="7">
        <f>Données!H30</f>
        <v>44026</v>
      </c>
      <c r="F177" s="6" t="str">
        <f>INDEX(Données!$F$2:$L$54,MATCH('#2'!E177,Données!$G$2:$G$54,1),1)</f>
        <v>29</v>
      </c>
      <c r="G177" s="18" t="str">
        <f t="shared" si="5"/>
        <v>PS-2</v>
      </c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1"/>
      <c r="W177" s="75"/>
      <c r="X177" s="75"/>
      <c r="Y177" s="75"/>
      <c r="Z177" s="96">
        <f>SUM(Tableau14[[#This Row],[A-1]:[G-5]])</f>
        <v>0</v>
      </c>
      <c r="AA177" s="96" t="str">
        <f>IF(AND(Z177&gt;0,Tableau14[[#This Row],[CDS]]=""),"Oui","Non")</f>
        <v>Non</v>
      </c>
      <c r="AB177" s="75"/>
      <c r="AC177" s="75"/>
      <c r="AD177" s="75"/>
      <c r="AE177" s="75"/>
      <c r="AF177" s="75"/>
      <c r="AG177" s="75"/>
      <c r="AH177" s="75"/>
      <c r="AI177" s="75"/>
      <c r="AJ177" s="81"/>
      <c r="AK177" s="75"/>
      <c r="AL177" s="75"/>
    </row>
    <row r="178" spans="1:38" ht="15.75" hidden="1" thickBot="1" x14ac:dyDescent="0.3">
      <c r="A178" s="75"/>
      <c r="B178" s="75"/>
      <c r="C178" s="35">
        <f>INDEX(Données!$F$2:$L$54,MATCH(F178,Données!$F$2:$F$54,0),2)</f>
        <v>44025</v>
      </c>
      <c r="D178" s="29" t="str">
        <f t="shared" si="4"/>
        <v>#2</v>
      </c>
      <c r="E178" s="7">
        <f>Données!I30</f>
        <v>44027</v>
      </c>
      <c r="F178" s="6" t="str">
        <f>INDEX(Données!$F$2:$L$54,MATCH('#2'!E178,Données!$G$2:$G$54,1),1)</f>
        <v>29</v>
      </c>
      <c r="G178" s="18" t="str">
        <f t="shared" si="5"/>
        <v>PS-2</v>
      </c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1"/>
      <c r="W178" s="75"/>
      <c r="X178" s="75"/>
      <c r="Y178" s="75"/>
      <c r="Z178" s="96">
        <f>SUM(Tableau14[[#This Row],[A-1]:[G-5]])</f>
        <v>0</v>
      </c>
      <c r="AA178" s="96" t="str">
        <f>IF(AND(Z178&gt;0,Tableau14[[#This Row],[CDS]]=""),"Oui","Non")</f>
        <v>Non</v>
      </c>
      <c r="AB178" s="75"/>
      <c r="AC178" s="75"/>
      <c r="AD178" s="75"/>
      <c r="AE178" s="75"/>
      <c r="AF178" s="75"/>
      <c r="AG178" s="75"/>
      <c r="AH178" s="75"/>
      <c r="AI178" s="75"/>
      <c r="AJ178" s="81"/>
      <c r="AK178" s="75"/>
      <c r="AL178" s="75"/>
    </row>
    <row r="179" spans="1:38" ht="15.75" hidden="1" thickBot="1" x14ac:dyDescent="0.3">
      <c r="A179" s="75"/>
      <c r="B179" s="75"/>
      <c r="C179" s="35">
        <f>INDEX(Données!$F$2:$L$54,MATCH(F179,Données!$F$2:$F$54,0),2)</f>
        <v>44025</v>
      </c>
      <c r="D179" s="29" t="str">
        <f t="shared" si="4"/>
        <v>#2</v>
      </c>
      <c r="E179" s="7">
        <f>Données!J30</f>
        <v>44028</v>
      </c>
      <c r="F179" s="6" t="str">
        <f>INDEX(Données!$F$2:$L$54,MATCH('#2'!E179,Données!$G$2:$G$54,1),1)</f>
        <v>29</v>
      </c>
      <c r="G179" s="18" t="str">
        <f t="shared" si="5"/>
        <v>PS-2</v>
      </c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1"/>
      <c r="W179" s="75"/>
      <c r="X179" s="75"/>
      <c r="Y179" s="75"/>
      <c r="Z179" s="96">
        <f>SUM(Tableau14[[#This Row],[A-1]:[G-5]])</f>
        <v>0</v>
      </c>
      <c r="AA179" s="96" t="str">
        <f>IF(AND(Z179&gt;0,Tableau14[[#This Row],[CDS]]=""),"Oui","Non")</f>
        <v>Non</v>
      </c>
      <c r="AB179" s="75"/>
      <c r="AC179" s="75"/>
      <c r="AD179" s="75"/>
      <c r="AE179" s="75"/>
      <c r="AF179" s="75"/>
      <c r="AG179" s="75"/>
      <c r="AH179" s="75"/>
      <c r="AI179" s="75"/>
      <c r="AJ179" s="81"/>
      <c r="AK179" s="75"/>
      <c r="AL179" s="75"/>
    </row>
    <row r="180" spans="1:38" ht="15.75" hidden="1" thickBot="1" x14ac:dyDescent="0.3">
      <c r="A180" s="75"/>
      <c r="B180" s="75"/>
      <c r="C180" s="35">
        <f>INDEX(Données!$F$2:$L$54,MATCH(F180,Données!$F$2:$F$54,0),2)</f>
        <v>44025</v>
      </c>
      <c r="D180" s="29" t="str">
        <f t="shared" si="4"/>
        <v>#2</v>
      </c>
      <c r="E180" s="7">
        <f>Données!K30</f>
        <v>44029</v>
      </c>
      <c r="F180" s="6" t="str">
        <f>INDEX(Données!$F$2:$L$54,MATCH('#2'!E180,Données!$G$2:$G$54,1),1)</f>
        <v>29</v>
      </c>
      <c r="G180" s="18" t="str">
        <f t="shared" si="5"/>
        <v>PS-2</v>
      </c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1"/>
      <c r="W180" s="75"/>
      <c r="X180" s="75"/>
      <c r="Y180" s="75"/>
      <c r="Z180" s="96">
        <f>SUM(Tableau14[[#This Row],[A-1]:[G-5]])</f>
        <v>0</v>
      </c>
      <c r="AA180" s="96" t="str">
        <f>IF(AND(Z180&gt;0,Tableau14[[#This Row],[CDS]]=""),"Oui","Non")</f>
        <v>Non</v>
      </c>
      <c r="AB180" s="75"/>
      <c r="AC180" s="75"/>
      <c r="AD180" s="75"/>
      <c r="AE180" s="75"/>
      <c r="AF180" s="75"/>
      <c r="AG180" s="75"/>
      <c r="AH180" s="75"/>
      <c r="AI180" s="75"/>
      <c r="AJ180" s="81"/>
      <c r="AK180" s="75"/>
      <c r="AL180" s="75"/>
    </row>
    <row r="181" spans="1:38" ht="15.75" hidden="1" thickBot="1" x14ac:dyDescent="0.3">
      <c r="A181" s="75"/>
      <c r="B181" s="75"/>
      <c r="C181" s="35">
        <f>INDEX(Données!$F$2:$L$54,MATCH(F181,Données!$F$2:$F$54,0),2)</f>
        <v>44025</v>
      </c>
      <c r="D181" s="29" t="str">
        <f t="shared" si="4"/>
        <v>#2</v>
      </c>
      <c r="E181" s="7">
        <f>Données!L30</f>
        <v>44030</v>
      </c>
      <c r="F181" s="6" t="str">
        <f>INDEX(Données!$F$2:$L$54,MATCH('#2'!E181,Données!$G$2:$G$54,1),1)</f>
        <v>29</v>
      </c>
      <c r="G181" s="18" t="str">
        <f t="shared" si="5"/>
        <v>PS-2</v>
      </c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1"/>
      <c r="W181" s="75"/>
      <c r="X181" s="75"/>
      <c r="Y181" s="75"/>
      <c r="Z181" s="96">
        <f>SUM(Tableau14[[#This Row],[A-1]:[G-5]])</f>
        <v>0</v>
      </c>
      <c r="AA181" s="96" t="str">
        <f>IF(AND(Z181&gt;0,Tableau14[[#This Row],[CDS]]=""),"Oui","Non")</f>
        <v>Non</v>
      </c>
      <c r="AB181" s="75"/>
      <c r="AC181" s="75"/>
      <c r="AD181" s="75"/>
      <c r="AE181" s="75"/>
      <c r="AF181" s="75"/>
      <c r="AG181" s="75"/>
      <c r="AH181" s="75"/>
      <c r="AI181" s="75"/>
      <c r="AJ181" s="81"/>
      <c r="AK181" s="75"/>
      <c r="AL181" s="75"/>
    </row>
    <row r="182" spans="1:38" ht="15.75" hidden="1" thickBot="1" x14ac:dyDescent="0.3">
      <c r="A182" s="75"/>
      <c r="B182" s="75"/>
      <c r="C182" s="35">
        <f>INDEX(Données!$F$2:$L$54,MATCH(F182,Données!$F$2:$F$54,0),2)</f>
        <v>44032</v>
      </c>
      <c r="D182" s="29" t="str">
        <f t="shared" si="4"/>
        <v>#2</v>
      </c>
      <c r="E182" s="7">
        <f>Données!G31</f>
        <v>44032</v>
      </c>
      <c r="F182" s="6" t="str">
        <f>INDEX(Données!$F$2:$L$54,MATCH('#2'!E182,Données!$G$2:$G$54,1),1)</f>
        <v>30</v>
      </c>
      <c r="G182" s="18" t="str">
        <f t="shared" si="5"/>
        <v>PS-2</v>
      </c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1"/>
      <c r="W182" s="75"/>
      <c r="X182" s="75"/>
      <c r="Y182" s="75"/>
      <c r="Z182" s="96">
        <f>SUM(Tableau14[[#This Row],[A-1]:[G-5]])</f>
        <v>0</v>
      </c>
      <c r="AA182" s="96" t="str">
        <f>IF(AND(Z182&gt;0,Tableau14[[#This Row],[CDS]]=""),"Oui","Non")</f>
        <v>Non</v>
      </c>
      <c r="AB182" s="75"/>
      <c r="AC182" s="75"/>
      <c r="AD182" s="75"/>
      <c r="AE182" s="75"/>
      <c r="AF182" s="75"/>
      <c r="AG182" s="75"/>
      <c r="AH182" s="75"/>
      <c r="AI182" s="75"/>
      <c r="AJ182" s="81"/>
      <c r="AK182" s="75"/>
      <c r="AL182" s="75"/>
    </row>
    <row r="183" spans="1:38" ht="15.75" hidden="1" thickBot="1" x14ac:dyDescent="0.3">
      <c r="A183" s="75"/>
      <c r="B183" s="75"/>
      <c r="C183" s="35">
        <f>INDEX(Données!$F$2:$L$54,MATCH(F183,Données!$F$2:$F$54,0),2)</f>
        <v>44032</v>
      </c>
      <c r="D183" s="29" t="str">
        <f t="shared" si="4"/>
        <v>#2</v>
      </c>
      <c r="E183" s="7">
        <f>Données!H31</f>
        <v>44033</v>
      </c>
      <c r="F183" s="6" t="str">
        <f>INDEX(Données!$F$2:$L$54,MATCH('#2'!E183,Données!$G$2:$G$54,1),1)</f>
        <v>30</v>
      </c>
      <c r="G183" s="18" t="str">
        <f t="shared" si="5"/>
        <v>PS-2</v>
      </c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1"/>
      <c r="W183" s="75"/>
      <c r="X183" s="75"/>
      <c r="Y183" s="75"/>
      <c r="Z183" s="96">
        <f>SUM(Tableau14[[#This Row],[A-1]:[G-5]])</f>
        <v>0</v>
      </c>
      <c r="AA183" s="96" t="str">
        <f>IF(AND(Z183&gt;0,Tableau14[[#This Row],[CDS]]=""),"Oui","Non")</f>
        <v>Non</v>
      </c>
      <c r="AB183" s="75"/>
      <c r="AC183" s="75"/>
      <c r="AD183" s="75"/>
      <c r="AE183" s="75"/>
      <c r="AF183" s="75"/>
      <c r="AG183" s="75"/>
      <c r="AH183" s="75"/>
      <c r="AI183" s="75"/>
      <c r="AJ183" s="81"/>
      <c r="AK183" s="75"/>
      <c r="AL183" s="75"/>
    </row>
    <row r="184" spans="1:38" ht="15.75" hidden="1" thickBot="1" x14ac:dyDescent="0.3">
      <c r="A184" s="75"/>
      <c r="B184" s="75"/>
      <c r="C184" s="35">
        <f>INDEX(Données!$F$2:$L$54,MATCH(F184,Données!$F$2:$F$54,0),2)</f>
        <v>44032</v>
      </c>
      <c r="D184" s="29" t="str">
        <f t="shared" si="4"/>
        <v>#2</v>
      </c>
      <c r="E184" s="7">
        <f>Données!I31</f>
        <v>44034</v>
      </c>
      <c r="F184" s="6" t="str">
        <f>INDEX(Données!$F$2:$L$54,MATCH('#2'!E184,Données!$G$2:$G$54,1),1)</f>
        <v>30</v>
      </c>
      <c r="G184" s="18" t="str">
        <f t="shared" si="5"/>
        <v>PS-2</v>
      </c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1"/>
      <c r="W184" s="75"/>
      <c r="X184" s="75"/>
      <c r="Y184" s="75"/>
      <c r="Z184" s="96">
        <f>SUM(Tableau14[[#This Row],[A-1]:[G-5]])</f>
        <v>0</v>
      </c>
      <c r="AA184" s="96" t="str">
        <f>IF(AND(Z184&gt;0,Tableau14[[#This Row],[CDS]]=""),"Oui","Non")</f>
        <v>Non</v>
      </c>
      <c r="AB184" s="75"/>
      <c r="AC184" s="75"/>
      <c r="AD184" s="75"/>
      <c r="AE184" s="75"/>
      <c r="AF184" s="75"/>
      <c r="AG184" s="75"/>
      <c r="AH184" s="75"/>
      <c r="AI184" s="75"/>
      <c r="AJ184" s="81"/>
      <c r="AK184" s="75"/>
      <c r="AL184" s="75"/>
    </row>
    <row r="185" spans="1:38" ht="15.75" hidden="1" thickBot="1" x14ac:dyDescent="0.3">
      <c r="A185" s="75"/>
      <c r="B185" s="75"/>
      <c r="C185" s="35">
        <f>INDEX(Données!$F$2:$L$54,MATCH(F185,Données!$F$2:$F$54,0),2)</f>
        <v>44032</v>
      </c>
      <c r="D185" s="29" t="str">
        <f t="shared" si="4"/>
        <v>#2</v>
      </c>
      <c r="E185" s="7">
        <f>Données!J31</f>
        <v>44035</v>
      </c>
      <c r="F185" s="6" t="str">
        <f>INDEX(Données!$F$2:$L$54,MATCH('#2'!E185,Données!$G$2:$G$54,1),1)</f>
        <v>30</v>
      </c>
      <c r="G185" s="18" t="str">
        <f t="shared" si="5"/>
        <v>PS-2</v>
      </c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1"/>
      <c r="W185" s="75"/>
      <c r="X185" s="75"/>
      <c r="Y185" s="75"/>
      <c r="Z185" s="96">
        <f>SUM(Tableau14[[#This Row],[A-1]:[G-5]])</f>
        <v>0</v>
      </c>
      <c r="AA185" s="96" t="str">
        <f>IF(AND(Z185&gt;0,Tableau14[[#This Row],[CDS]]=""),"Oui","Non")</f>
        <v>Non</v>
      </c>
      <c r="AB185" s="75"/>
      <c r="AC185" s="75"/>
      <c r="AD185" s="75"/>
      <c r="AE185" s="75"/>
      <c r="AF185" s="75"/>
      <c r="AG185" s="75"/>
      <c r="AH185" s="75"/>
      <c r="AI185" s="75"/>
      <c r="AJ185" s="81"/>
      <c r="AK185" s="75"/>
      <c r="AL185" s="75"/>
    </row>
    <row r="186" spans="1:38" ht="15.75" hidden="1" thickBot="1" x14ac:dyDescent="0.3">
      <c r="A186" s="75"/>
      <c r="B186" s="75"/>
      <c r="C186" s="35">
        <f>INDEX(Données!$F$2:$L$54,MATCH(F186,Données!$F$2:$F$54,0),2)</f>
        <v>44032</v>
      </c>
      <c r="D186" s="29" t="str">
        <f t="shared" si="4"/>
        <v>#2</v>
      </c>
      <c r="E186" s="7">
        <f>Données!K31</f>
        <v>44036</v>
      </c>
      <c r="F186" s="6" t="str">
        <f>INDEX(Données!$F$2:$L$54,MATCH('#2'!E186,Données!$G$2:$G$54,1),1)</f>
        <v>30</v>
      </c>
      <c r="G186" s="18" t="str">
        <f t="shared" si="5"/>
        <v>PS-2</v>
      </c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1"/>
      <c r="W186" s="75"/>
      <c r="X186" s="75"/>
      <c r="Y186" s="75"/>
      <c r="Z186" s="96">
        <f>SUM(Tableau14[[#This Row],[A-1]:[G-5]])</f>
        <v>0</v>
      </c>
      <c r="AA186" s="96" t="str">
        <f>IF(AND(Z186&gt;0,Tableau14[[#This Row],[CDS]]=""),"Oui","Non")</f>
        <v>Non</v>
      </c>
      <c r="AB186" s="75"/>
      <c r="AC186" s="75"/>
      <c r="AD186" s="75"/>
      <c r="AE186" s="75"/>
      <c r="AF186" s="75"/>
      <c r="AG186" s="75"/>
      <c r="AH186" s="75"/>
      <c r="AI186" s="75"/>
      <c r="AJ186" s="81"/>
      <c r="AK186" s="75"/>
      <c r="AL186" s="75"/>
    </row>
    <row r="187" spans="1:38" ht="15.75" hidden="1" thickBot="1" x14ac:dyDescent="0.3">
      <c r="A187" s="75"/>
      <c r="B187" s="75"/>
      <c r="C187" s="35">
        <f>INDEX(Données!$F$2:$L$54,MATCH(F187,Données!$F$2:$F$54,0),2)</f>
        <v>44032</v>
      </c>
      <c r="D187" s="29" t="str">
        <f t="shared" si="4"/>
        <v>#2</v>
      </c>
      <c r="E187" s="7">
        <f>Données!L31</f>
        <v>44037</v>
      </c>
      <c r="F187" s="6" t="str">
        <f>INDEX(Données!$F$2:$L$54,MATCH('#2'!E187,Données!$G$2:$G$54,1),1)</f>
        <v>30</v>
      </c>
      <c r="G187" s="18" t="str">
        <f t="shared" si="5"/>
        <v>PS-2</v>
      </c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1"/>
      <c r="W187" s="75"/>
      <c r="X187" s="75"/>
      <c r="Y187" s="75"/>
      <c r="Z187" s="96">
        <f>SUM(Tableau14[[#This Row],[A-1]:[G-5]])</f>
        <v>0</v>
      </c>
      <c r="AA187" s="96" t="str">
        <f>IF(AND(Z187&gt;0,Tableau14[[#This Row],[CDS]]=""),"Oui","Non")</f>
        <v>Non</v>
      </c>
      <c r="AB187" s="75"/>
      <c r="AC187" s="75"/>
      <c r="AD187" s="75"/>
      <c r="AE187" s="75"/>
      <c r="AF187" s="75"/>
      <c r="AG187" s="75"/>
      <c r="AH187" s="75"/>
      <c r="AI187" s="75"/>
      <c r="AJ187" s="81"/>
      <c r="AK187" s="75"/>
      <c r="AL187" s="75"/>
    </row>
    <row r="188" spans="1:38" ht="15.75" hidden="1" thickBot="1" x14ac:dyDescent="0.3">
      <c r="A188" s="75"/>
      <c r="B188" s="75"/>
      <c r="C188" s="35">
        <f>INDEX(Données!$F$2:$L$54,MATCH(F188,Données!$F$2:$F$54,0),2)</f>
        <v>44039</v>
      </c>
      <c r="D188" s="29" t="str">
        <f t="shared" si="4"/>
        <v>#2</v>
      </c>
      <c r="E188" s="7">
        <f>Données!G32</f>
        <v>44039</v>
      </c>
      <c r="F188" s="6" t="str">
        <f>INDEX(Données!$F$2:$L$54,MATCH('#2'!E188,Données!$G$2:$G$54,1),1)</f>
        <v>31</v>
      </c>
      <c r="G188" s="18" t="str">
        <f t="shared" si="5"/>
        <v>PS-2</v>
      </c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1"/>
      <c r="W188" s="75"/>
      <c r="X188" s="75"/>
      <c r="Y188" s="75"/>
      <c r="Z188" s="96">
        <f>SUM(Tableau14[[#This Row],[A-1]:[G-5]])</f>
        <v>0</v>
      </c>
      <c r="AA188" s="96" t="str">
        <f>IF(AND(Z188&gt;0,Tableau14[[#This Row],[CDS]]=""),"Oui","Non")</f>
        <v>Non</v>
      </c>
      <c r="AB188" s="75"/>
      <c r="AC188" s="75"/>
      <c r="AD188" s="75"/>
      <c r="AE188" s="75"/>
      <c r="AF188" s="75"/>
      <c r="AG188" s="75"/>
      <c r="AH188" s="75"/>
      <c r="AI188" s="75"/>
      <c r="AJ188" s="81"/>
      <c r="AK188" s="75"/>
      <c r="AL188" s="75"/>
    </row>
    <row r="189" spans="1:38" ht="15.75" hidden="1" thickBot="1" x14ac:dyDescent="0.3">
      <c r="A189" s="75"/>
      <c r="B189" s="75"/>
      <c r="C189" s="35">
        <f>INDEX(Données!$F$2:$L$54,MATCH(F189,Données!$F$2:$F$54,0),2)</f>
        <v>44039</v>
      </c>
      <c r="D189" s="29" t="str">
        <f t="shared" si="4"/>
        <v>#2</v>
      </c>
      <c r="E189" s="7">
        <f>Données!H32</f>
        <v>44040</v>
      </c>
      <c r="F189" s="6" t="str">
        <f>INDEX(Données!$F$2:$L$54,MATCH('#2'!E189,Données!$G$2:$G$54,1),1)</f>
        <v>31</v>
      </c>
      <c r="G189" s="18" t="str">
        <f t="shared" si="5"/>
        <v>PS-2</v>
      </c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1"/>
      <c r="W189" s="75"/>
      <c r="X189" s="75"/>
      <c r="Y189" s="75"/>
      <c r="Z189" s="96">
        <f>SUM(Tableau14[[#This Row],[A-1]:[G-5]])</f>
        <v>0</v>
      </c>
      <c r="AA189" s="96" t="str">
        <f>IF(AND(Z189&gt;0,Tableau14[[#This Row],[CDS]]=""),"Oui","Non")</f>
        <v>Non</v>
      </c>
      <c r="AB189" s="75"/>
      <c r="AC189" s="75"/>
      <c r="AD189" s="75"/>
      <c r="AE189" s="75"/>
      <c r="AF189" s="75"/>
      <c r="AG189" s="75"/>
      <c r="AH189" s="75"/>
      <c r="AI189" s="75"/>
      <c r="AJ189" s="81"/>
      <c r="AK189" s="75"/>
      <c r="AL189" s="75"/>
    </row>
    <row r="190" spans="1:38" ht="15.75" hidden="1" thickBot="1" x14ac:dyDescent="0.3">
      <c r="A190" s="75"/>
      <c r="B190" s="75"/>
      <c r="C190" s="35">
        <f>INDEX(Données!$F$2:$L$54,MATCH(F190,Données!$F$2:$F$54,0),2)</f>
        <v>44039</v>
      </c>
      <c r="D190" s="29" t="str">
        <f t="shared" si="4"/>
        <v>#2</v>
      </c>
      <c r="E190" s="7">
        <f>Données!I32</f>
        <v>44041</v>
      </c>
      <c r="F190" s="6" t="str">
        <f>INDEX(Données!$F$2:$L$54,MATCH('#2'!E190,Données!$G$2:$G$54,1),1)</f>
        <v>31</v>
      </c>
      <c r="G190" s="18" t="str">
        <f t="shared" si="5"/>
        <v>PS-2</v>
      </c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1"/>
      <c r="W190" s="75"/>
      <c r="X190" s="75"/>
      <c r="Y190" s="75"/>
      <c r="Z190" s="96">
        <f>SUM(Tableau14[[#This Row],[A-1]:[G-5]])</f>
        <v>0</v>
      </c>
      <c r="AA190" s="96" t="str">
        <f>IF(AND(Z190&gt;0,Tableau14[[#This Row],[CDS]]=""),"Oui","Non")</f>
        <v>Non</v>
      </c>
      <c r="AB190" s="75"/>
      <c r="AC190" s="75"/>
      <c r="AD190" s="75"/>
      <c r="AE190" s="75"/>
      <c r="AF190" s="75"/>
      <c r="AG190" s="75"/>
      <c r="AH190" s="75"/>
      <c r="AI190" s="75"/>
      <c r="AJ190" s="81"/>
      <c r="AK190" s="75"/>
      <c r="AL190" s="75"/>
    </row>
    <row r="191" spans="1:38" ht="15.75" hidden="1" thickBot="1" x14ac:dyDescent="0.3">
      <c r="A191" s="75"/>
      <c r="B191" s="75"/>
      <c r="C191" s="35">
        <f>INDEX(Données!$F$2:$L$54,MATCH(F191,Données!$F$2:$F$54,0),2)</f>
        <v>44039</v>
      </c>
      <c r="D191" s="29" t="str">
        <f t="shared" si="4"/>
        <v>#2</v>
      </c>
      <c r="E191" s="7">
        <f>Données!J32</f>
        <v>44042</v>
      </c>
      <c r="F191" s="6" t="str">
        <f>INDEX(Données!$F$2:$L$54,MATCH('#2'!E191,Données!$G$2:$G$54,1),1)</f>
        <v>31</v>
      </c>
      <c r="G191" s="18" t="str">
        <f t="shared" si="5"/>
        <v>PS-2</v>
      </c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1"/>
      <c r="W191" s="75"/>
      <c r="X191" s="75"/>
      <c r="Y191" s="75"/>
      <c r="Z191" s="96">
        <f>SUM(Tableau14[[#This Row],[A-1]:[G-5]])</f>
        <v>0</v>
      </c>
      <c r="AA191" s="96" t="str">
        <f>IF(AND(Z191&gt;0,Tableau14[[#This Row],[CDS]]=""),"Oui","Non")</f>
        <v>Non</v>
      </c>
      <c r="AB191" s="75"/>
      <c r="AC191" s="75"/>
      <c r="AD191" s="75"/>
      <c r="AE191" s="75"/>
      <c r="AF191" s="75"/>
      <c r="AG191" s="75"/>
      <c r="AH191" s="75"/>
      <c r="AI191" s="75"/>
      <c r="AJ191" s="81"/>
      <c r="AK191" s="75"/>
      <c r="AL191" s="75"/>
    </row>
    <row r="192" spans="1:38" ht="15.75" hidden="1" thickBot="1" x14ac:dyDescent="0.3">
      <c r="A192" s="75"/>
      <c r="B192" s="75"/>
      <c r="C192" s="35">
        <f>INDEX(Données!$F$2:$L$54,MATCH(F192,Données!$F$2:$F$54,0),2)</f>
        <v>44039</v>
      </c>
      <c r="D192" s="29" t="str">
        <f t="shared" si="4"/>
        <v>#2</v>
      </c>
      <c r="E192" s="7">
        <f>Données!K32</f>
        <v>44043</v>
      </c>
      <c r="F192" s="6" t="str">
        <f>INDEX(Données!$F$2:$L$54,MATCH('#2'!E192,Données!$G$2:$G$54,1),1)</f>
        <v>31</v>
      </c>
      <c r="G192" s="18" t="str">
        <f t="shared" si="5"/>
        <v>PS-2</v>
      </c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1"/>
      <c r="W192" s="75"/>
      <c r="X192" s="75"/>
      <c r="Y192" s="75"/>
      <c r="Z192" s="96">
        <f>SUM(Tableau14[[#This Row],[A-1]:[G-5]])</f>
        <v>0</v>
      </c>
      <c r="AA192" s="96" t="str">
        <f>IF(AND(Z192&gt;0,Tableau14[[#This Row],[CDS]]=""),"Oui","Non")</f>
        <v>Non</v>
      </c>
      <c r="AB192" s="75"/>
      <c r="AC192" s="75"/>
      <c r="AD192" s="75"/>
      <c r="AE192" s="75"/>
      <c r="AF192" s="75"/>
      <c r="AG192" s="75"/>
      <c r="AH192" s="75"/>
      <c r="AI192" s="75"/>
      <c r="AJ192" s="81"/>
      <c r="AK192" s="75"/>
      <c r="AL192" s="75"/>
    </row>
    <row r="193" spans="1:38" ht="15.75" hidden="1" thickBot="1" x14ac:dyDescent="0.3">
      <c r="A193" s="75"/>
      <c r="B193" s="75"/>
      <c r="C193" s="35">
        <f>INDEX(Données!$F$2:$L$54,MATCH(F193,Données!$F$2:$F$54,0),2)</f>
        <v>44039</v>
      </c>
      <c r="D193" s="29" t="str">
        <f t="shared" si="4"/>
        <v>#2</v>
      </c>
      <c r="E193" s="7">
        <f>Données!L32</f>
        <v>44044</v>
      </c>
      <c r="F193" s="6" t="str">
        <f>INDEX(Données!$F$2:$L$54,MATCH('#2'!E193,Données!$G$2:$G$54,1),1)</f>
        <v>31</v>
      </c>
      <c r="G193" s="18" t="str">
        <f t="shared" si="5"/>
        <v>PS-2</v>
      </c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1"/>
      <c r="W193" s="75"/>
      <c r="X193" s="75"/>
      <c r="Y193" s="75"/>
      <c r="Z193" s="96">
        <f>SUM(Tableau14[[#This Row],[A-1]:[G-5]])</f>
        <v>0</v>
      </c>
      <c r="AA193" s="96" t="str">
        <f>IF(AND(Z193&gt;0,Tableau14[[#This Row],[CDS]]=""),"Oui","Non")</f>
        <v>Non</v>
      </c>
      <c r="AB193" s="75"/>
      <c r="AC193" s="75"/>
      <c r="AD193" s="75"/>
      <c r="AE193" s="75"/>
      <c r="AF193" s="75"/>
      <c r="AG193" s="75"/>
      <c r="AH193" s="75"/>
      <c r="AI193" s="75"/>
      <c r="AJ193" s="81"/>
      <c r="AK193" s="75"/>
      <c r="AL193" s="75"/>
    </row>
    <row r="194" spans="1:38" ht="15.75" hidden="1" thickBot="1" x14ac:dyDescent="0.3">
      <c r="A194" s="75"/>
      <c r="B194" s="75"/>
      <c r="C194" s="35">
        <f>INDEX(Données!$F$2:$L$54,MATCH(F194,Données!$F$2:$F$54,0),2)</f>
        <v>44046</v>
      </c>
      <c r="D194" s="29" t="str">
        <f t="shared" si="4"/>
        <v>#2</v>
      </c>
      <c r="E194" s="7">
        <f>Données!G33</f>
        <v>44046</v>
      </c>
      <c r="F194" s="6" t="str">
        <f>INDEX(Données!$F$2:$L$54,MATCH('#2'!E194,Données!$G$2:$G$54,1),1)</f>
        <v>32</v>
      </c>
      <c r="G194" s="18" t="str">
        <f t="shared" si="5"/>
        <v>PS-2</v>
      </c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1"/>
      <c r="W194" s="75"/>
      <c r="X194" s="75"/>
      <c r="Y194" s="75"/>
      <c r="Z194" s="96">
        <f>SUM(Tableau14[[#This Row],[A-1]:[G-5]])</f>
        <v>0</v>
      </c>
      <c r="AA194" s="96" t="str">
        <f>IF(AND(Z194&gt;0,Tableau14[[#This Row],[CDS]]=""),"Oui","Non")</f>
        <v>Non</v>
      </c>
      <c r="AB194" s="75"/>
      <c r="AC194" s="75"/>
      <c r="AD194" s="75"/>
      <c r="AE194" s="75"/>
      <c r="AF194" s="75"/>
      <c r="AG194" s="75"/>
      <c r="AH194" s="75"/>
      <c r="AI194" s="75"/>
      <c r="AJ194" s="81"/>
      <c r="AK194" s="75"/>
      <c r="AL194" s="75"/>
    </row>
    <row r="195" spans="1:38" ht="15.75" hidden="1" thickBot="1" x14ac:dyDescent="0.3">
      <c r="A195" s="75"/>
      <c r="B195" s="75"/>
      <c r="C195" s="35">
        <f>INDEX(Données!$F$2:$L$54,MATCH(F195,Données!$F$2:$F$54,0),2)</f>
        <v>44046</v>
      </c>
      <c r="D195" s="29" t="str">
        <f t="shared" si="4"/>
        <v>#2</v>
      </c>
      <c r="E195" s="7">
        <f>Données!H33</f>
        <v>44047</v>
      </c>
      <c r="F195" s="6" t="str">
        <f>INDEX(Données!$F$2:$L$54,MATCH('#2'!E195,Données!$G$2:$G$54,1),1)</f>
        <v>32</v>
      </c>
      <c r="G195" s="18" t="str">
        <f t="shared" si="5"/>
        <v>PS-2</v>
      </c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1"/>
      <c r="W195" s="75"/>
      <c r="X195" s="75"/>
      <c r="Y195" s="75"/>
      <c r="Z195" s="96">
        <f>SUM(Tableau14[[#This Row],[A-1]:[G-5]])</f>
        <v>0</v>
      </c>
      <c r="AA195" s="96" t="str">
        <f>IF(AND(Z195&gt;0,Tableau14[[#This Row],[CDS]]=""),"Oui","Non")</f>
        <v>Non</v>
      </c>
      <c r="AB195" s="75"/>
      <c r="AC195" s="75"/>
      <c r="AD195" s="75"/>
      <c r="AE195" s="75"/>
      <c r="AF195" s="75"/>
      <c r="AG195" s="75"/>
      <c r="AH195" s="75"/>
      <c r="AI195" s="75"/>
      <c r="AJ195" s="81"/>
      <c r="AK195" s="75"/>
      <c r="AL195" s="75"/>
    </row>
    <row r="196" spans="1:38" ht="15.75" hidden="1" thickBot="1" x14ac:dyDescent="0.3">
      <c r="A196" s="75"/>
      <c r="B196" s="75"/>
      <c r="C196" s="35">
        <f>INDEX(Données!$F$2:$L$54,MATCH(F196,Données!$F$2:$F$54,0),2)</f>
        <v>44046</v>
      </c>
      <c r="D196" s="29" t="str">
        <f t="shared" si="4"/>
        <v>#2</v>
      </c>
      <c r="E196" s="7">
        <f>Données!I33</f>
        <v>44048</v>
      </c>
      <c r="F196" s="6" t="str">
        <f>INDEX(Données!$F$2:$L$54,MATCH('#2'!E196,Données!$G$2:$G$54,1),1)</f>
        <v>32</v>
      </c>
      <c r="G196" s="18" t="str">
        <f t="shared" si="5"/>
        <v>PS-2</v>
      </c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1"/>
      <c r="W196" s="75"/>
      <c r="X196" s="75"/>
      <c r="Y196" s="75"/>
      <c r="Z196" s="96">
        <f>SUM(Tableau14[[#This Row],[A-1]:[G-5]])</f>
        <v>0</v>
      </c>
      <c r="AA196" s="96" t="str">
        <f>IF(AND(Z196&gt;0,Tableau14[[#This Row],[CDS]]=""),"Oui","Non")</f>
        <v>Non</v>
      </c>
      <c r="AB196" s="75"/>
      <c r="AC196" s="75"/>
      <c r="AD196" s="75"/>
      <c r="AE196" s="75"/>
      <c r="AF196" s="75"/>
      <c r="AG196" s="75"/>
      <c r="AH196" s="75"/>
      <c r="AI196" s="75"/>
      <c r="AJ196" s="81"/>
      <c r="AK196" s="75"/>
      <c r="AL196" s="75"/>
    </row>
    <row r="197" spans="1:38" ht="15.75" hidden="1" thickBot="1" x14ac:dyDescent="0.3">
      <c r="A197" s="75"/>
      <c r="B197" s="75"/>
      <c r="C197" s="35">
        <f>INDEX(Données!$F$2:$L$54,MATCH(F197,Données!$F$2:$F$54,0),2)</f>
        <v>44046</v>
      </c>
      <c r="D197" s="29" t="str">
        <f t="shared" si="4"/>
        <v>#2</v>
      </c>
      <c r="E197" s="7">
        <f>Données!J33</f>
        <v>44049</v>
      </c>
      <c r="F197" s="6" t="str">
        <f>INDEX(Données!$F$2:$L$54,MATCH('#2'!E197,Données!$G$2:$G$54,1),1)</f>
        <v>32</v>
      </c>
      <c r="G197" s="18" t="str">
        <f t="shared" si="5"/>
        <v>PS-2</v>
      </c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1"/>
      <c r="W197" s="75"/>
      <c r="X197" s="75"/>
      <c r="Y197" s="75"/>
      <c r="Z197" s="96">
        <f>SUM(Tableau14[[#This Row],[A-1]:[G-5]])</f>
        <v>0</v>
      </c>
      <c r="AA197" s="96" t="str">
        <f>IF(AND(Z197&gt;0,Tableau14[[#This Row],[CDS]]=""),"Oui","Non")</f>
        <v>Non</v>
      </c>
      <c r="AB197" s="75"/>
      <c r="AC197" s="75"/>
      <c r="AD197" s="75"/>
      <c r="AE197" s="75"/>
      <c r="AF197" s="75"/>
      <c r="AG197" s="75"/>
      <c r="AH197" s="75"/>
      <c r="AI197" s="75"/>
      <c r="AJ197" s="81"/>
      <c r="AK197" s="75"/>
      <c r="AL197" s="75"/>
    </row>
    <row r="198" spans="1:38" ht="15.75" hidden="1" thickBot="1" x14ac:dyDescent="0.3">
      <c r="A198" s="75"/>
      <c r="B198" s="75"/>
      <c r="C198" s="35">
        <f>INDEX(Données!$F$2:$L$54,MATCH(F198,Données!$F$2:$F$54,0),2)</f>
        <v>44046</v>
      </c>
      <c r="D198" s="29" t="str">
        <f t="shared" si="4"/>
        <v>#2</v>
      </c>
      <c r="E198" s="7">
        <f>Données!K33</f>
        <v>44050</v>
      </c>
      <c r="F198" s="6" t="str">
        <f>INDEX(Données!$F$2:$L$54,MATCH('#2'!E198,Données!$G$2:$G$54,1),1)</f>
        <v>32</v>
      </c>
      <c r="G198" s="18" t="str">
        <f t="shared" si="5"/>
        <v>PS-2</v>
      </c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1"/>
      <c r="W198" s="75"/>
      <c r="X198" s="75"/>
      <c r="Y198" s="75"/>
      <c r="Z198" s="96">
        <f>SUM(Tableau14[[#This Row],[A-1]:[G-5]])</f>
        <v>0</v>
      </c>
      <c r="AA198" s="96" t="str">
        <f>IF(AND(Z198&gt;0,Tableau14[[#This Row],[CDS]]=""),"Oui","Non")</f>
        <v>Non</v>
      </c>
      <c r="AB198" s="75"/>
      <c r="AC198" s="75"/>
      <c r="AD198" s="75"/>
      <c r="AE198" s="75"/>
      <c r="AF198" s="75"/>
      <c r="AG198" s="75"/>
      <c r="AH198" s="75"/>
      <c r="AI198" s="75"/>
      <c r="AJ198" s="81"/>
      <c r="AK198" s="75"/>
      <c r="AL198" s="75"/>
    </row>
    <row r="199" spans="1:38" ht="15.75" hidden="1" thickBot="1" x14ac:dyDescent="0.3">
      <c r="A199" s="75"/>
      <c r="B199" s="75"/>
      <c r="C199" s="35">
        <f>INDEX(Données!$F$2:$L$54,MATCH(F199,Données!$F$2:$F$54,0),2)</f>
        <v>44046</v>
      </c>
      <c r="D199" s="29" t="str">
        <f t="shared" si="4"/>
        <v>#2</v>
      </c>
      <c r="E199" s="7">
        <f>Données!L33</f>
        <v>44051</v>
      </c>
      <c r="F199" s="6" t="str">
        <f>INDEX(Données!$F$2:$L$54,MATCH('#2'!E199,Données!$G$2:$G$54,1),1)</f>
        <v>32</v>
      </c>
      <c r="G199" s="18" t="str">
        <f t="shared" si="5"/>
        <v>PS-2</v>
      </c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1"/>
      <c r="W199" s="75"/>
      <c r="X199" s="75"/>
      <c r="Y199" s="75"/>
      <c r="Z199" s="96">
        <f>SUM(Tableau14[[#This Row],[A-1]:[G-5]])</f>
        <v>0</v>
      </c>
      <c r="AA199" s="96" t="str">
        <f>IF(AND(Z199&gt;0,Tableau14[[#This Row],[CDS]]=""),"Oui","Non")</f>
        <v>Non</v>
      </c>
      <c r="AB199" s="75"/>
      <c r="AC199" s="75"/>
      <c r="AD199" s="75"/>
      <c r="AE199" s="75"/>
      <c r="AF199" s="75"/>
      <c r="AG199" s="75"/>
      <c r="AH199" s="75"/>
      <c r="AI199" s="75"/>
      <c r="AJ199" s="81"/>
      <c r="AK199" s="75"/>
      <c r="AL199" s="75"/>
    </row>
    <row r="200" spans="1:38" ht="15.75" hidden="1" thickBot="1" x14ac:dyDescent="0.3">
      <c r="A200" s="75"/>
      <c r="B200" s="75"/>
      <c r="C200" s="35">
        <f>INDEX(Données!$F$2:$L$54,MATCH(F200,Données!$F$2:$F$54,0),2)</f>
        <v>44053</v>
      </c>
      <c r="D200" s="29" t="str">
        <f t="shared" ref="D200:D263" si="6">$E$4</f>
        <v>#2</v>
      </c>
      <c r="E200" s="7">
        <f>Données!G34</f>
        <v>44053</v>
      </c>
      <c r="F200" s="6" t="str">
        <f>INDEX(Données!$F$2:$L$54,MATCH('#2'!E200,Données!$G$2:$G$54,1),1)</f>
        <v>33</v>
      </c>
      <c r="G200" s="18" t="str">
        <f t="shared" ref="G200:G263" si="7">IF(AND($V$5=1),"PS-1",IF(AND($V$5=2),"PS-2",IF(AND($V$5=4),"PS-4",IF(AND($V$5=6),"S.O.",IF(AND($V$5=5),"")))))</f>
        <v>PS-2</v>
      </c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1"/>
      <c r="W200" s="75"/>
      <c r="X200" s="75"/>
      <c r="Y200" s="75"/>
      <c r="Z200" s="96">
        <f>SUM(Tableau14[[#This Row],[A-1]:[G-5]])</f>
        <v>0</v>
      </c>
      <c r="AA200" s="96" t="str">
        <f>IF(AND(Z200&gt;0,Tableau14[[#This Row],[CDS]]=""),"Oui","Non")</f>
        <v>Non</v>
      </c>
      <c r="AB200" s="75"/>
      <c r="AC200" s="75"/>
      <c r="AD200" s="75"/>
      <c r="AE200" s="75"/>
      <c r="AF200" s="75"/>
      <c r="AG200" s="75"/>
      <c r="AH200" s="75"/>
      <c r="AI200" s="75"/>
      <c r="AJ200" s="81"/>
      <c r="AK200" s="75"/>
      <c r="AL200" s="75"/>
    </row>
    <row r="201" spans="1:38" ht="15.75" hidden="1" thickBot="1" x14ac:dyDescent="0.3">
      <c r="A201" s="75"/>
      <c r="B201" s="75"/>
      <c r="C201" s="35">
        <f>INDEX(Données!$F$2:$L$54,MATCH(F201,Données!$F$2:$F$54,0),2)</f>
        <v>44053</v>
      </c>
      <c r="D201" s="29" t="str">
        <f t="shared" si="6"/>
        <v>#2</v>
      </c>
      <c r="E201" s="7">
        <f>Données!H34</f>
        <v>44054</v>
      </c>
      <c r="F201" s="6" t="str">
        <f>INDEX(Données!$F$2:$L$54,MATCH('#2'!E201,Données!$G$2:$G$54,1),1)</f>
        <v>33</v>
      </c>
      <c r="G201" s="18" t="str">
        <f t="shared" si="7"/>
        <v>PS-2</v>
      </c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1"/>
      <c r="W201" s="75"/>
      <c r="X201" s="75"/>
      <c r="Y201" s="75"/>
      <c r="Z201" s="96">
        <f>SUM(Tableau14[[#This Row],[A-1]:[G-5]])</f>
        <v>0</v>
      </c>
      <c r="AA201" s="96" t="str">
        <f>IF(AND(Z201&gt;0,Tableau14[[#This Row],[CDS]]=""),"Oui","Non")</f>
        <v>Non</v>
      </c>
      <c r="AB201" s="75"/>
      <c r="AC201" s="75"/>
      <c r="AD201" s="75"/>
      <c r="AE201" s="75"/>
      <c r="AF201" s="75"/>
      <c r="AG201" s="75"/>
      <c r="AH201" s="75"/>
      <c r="AI201" s="75"/>
      <c r="AJ201" s="81"/>
      <c r="AK201" s="75"/>
      <c r="AL201" s="75"/>
    </row>
    <row r="202" spans="1:38" ht="15.75" hidden="1" thickBot="1" x14ac:dyDescent="0.3">
      <c r="A202" s="75"/>
      <c r="B202" s="75"/>
      <c r="C202" s="35">
        <f>INDEX(Données!$F$2:$L$54,MATCH(F202,Données!$F$2:$F$54,0),2)</f>
        <v>44053</v>
      </c>
      <c r="D202" s="29" t="str">
        <f t="shared" si="6"/>
        <v>#2</v>
      </c>
      <c r="E202" s="7">
        <f>Données!I34</f>
        <v>44055</v>
      </c>
      <c r="F202" s="6" t="str">
        <f>INDEX(Données!$F$2:$L$54,MATCH('#2'!E202,Données!$G$2:$G$54,1),1)</f>
        <v>33</v>
      </c>
      <c r="G202" s="18" t="str">
        <f t="shared" si="7"/>
        <v>PS-2</v>
      </c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1"/>
      <c r="W202" s="75"/>
      <c r="X202" s="75"/>
      <c r="Y202" s="75"/>
      <c r="Z202" s="96">
        <f>SUM(Tableau14[[#This Row],[A-1]:[G-5]])</f>
        <v>0</v>
      </c>
      <c r="AA202" s="96" t="str">
        <f>IF(AND(Z202&gt;0,Tableau14[[#This Row],[CDS]]=""),"Oui","Non")</f>
        <v>Non</v>
      </c>
      <c r="AB202" s="75"/>
      <c r="AC202" s="75"/>
      <c r="AD202" s="75"/>
      <c r="AE202" s="75"/>
      <c r="AF202" s="75"/>
      <c r="AG202" s="75"/>
      <c r="AH202" s="75"/>
      <c r="AI202" s="75"/>
      <c r="AJ202" s="81"/>
      <c r="AK202" s="75"/>
      <c r="AL202" s="75"/>
    </row>
    <row r="203" spans="1:38" ht="15.75" hidden="1" thickBot="1" x14ac:dyDescent="0.3">
      <c r="A203" s="75"/>
      <c r="B203" s="75"/>
      <c r="C203" s="35">
        <f>INDEX(Données!$F$2:$L$54,MATCH(F203,Données!$F$2:$F$54,0),2)</f>
        <v>44053</v>
      </c>
      <c r="D203" s="29" t="str">
        <f t="shared" si="6"/>
        <v>#2</v>
      </c>
      <c r="E203" s="7">
        <f>Données!J34</f>
        <v>44056</v>
      </c>
      <c r="F203" s="6" t="str">
        <f>INDEX(Données!$F$2:$L$54,MATCH('#2'!E203,Données!$G$2:$G$54,1),1)</f>
        <v>33</v>
      </c>
      <c r="G203" s="18" t="str">
        <f t="shared" si="7"/>
        <v>PS-2</v>
      </c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1"/>
      <c r="W203" s="75"/>
      <c r="X203" s="75"/>
      <c r="Y203" s="75"/>
      <c r="Z203" s="96">
        <f>SUM(Tableau14[[#This Row],[A-1]:[G-5]])</f>
        <v>0</v>
      </c>
      <c r="AA203" s="96" t="str">
        <f>IF(AND(Z203&gt;0,Tableau14[[#This Row],[CDS]]=""),"Oui","Non")</f>
        <v>Non</v>
      </c>
      <c r="AB203" s="75"/>
      <c r="AC203" s="75"/>
      <c r="AD203" s="75"/>
      <c r="AE203" s="75"/>
      <c r="AF203" s="75"/>
      <c r="AG203" s="75"/>
      <c r="AH203" s="75"/>
      <c r="AI203" s="75"/>
      <c r="AJ203" s="81"/>
      <c r="AK203" s="75"/>
      <c r="AL203" s="75"/>
    </row>
    <row r="204" spans="1:38" ht="15.75" hidden="1" thickBot="1" x14ac:dyDescent="0.3">
      <c r="A204" s="75"/>
      <c r="B204" s="75"/>
      <c r="C204" s="35">
        <f>INDEX(Données!$F$2:$L$54,MATCH(F204,Données!$F$2:$F$54,0),2)</f>
        <v>44053</v>
      </c>
      <c r="D204" s="29" t="str">
        <f t="shared" si="6"/>
        <v>#2</v>
      </c>
      <c r="E204" s="7">
        <f>Données!K34</f>
        <v>44057</v>
      </c>
      <c r="F204" s="6" t="str">
        <f>INDEX(Données!$F$2:$L$54,MATCH('#2'!E204,Données!$G$2:$G$54,1),1)</f>
        <v>33</v>
      </c>
      <c r="G204" s="18" t="str">
        <f t="shared" si="7"/>
        <v>PS-2</v>
      </c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1"/>
      <c r="W204" s="75"/>
      <c r="X204" s="75"/>
      <c r="Y204" s="75"/>
      <c r="Z204" s="96">
        <f>SUM(Tableau14[[#This Row],[A-1]:[G-5]])</f>
        <v>0</v>
      </c>
      <c r="AA204" s="96" t="str">
        <f>IF(AND(Z204&gt;0,Tableau14[[#This Row],[CDS]]=""),"Oui","Non")</f>
        <v>Non</v>
      </c>
      <c r="AB204" s="75"/>
      <c r="AC204" s="75"/>
      <c r="AD204" s="75"/>
      <c r="AE204" s="75"/>
      <c r="AF204" s="75"/>
      <c r="AG204" s="75"/>
      <c r="AH204" s="75"/>
      <c r="AI204" s="75"/>
      <c r="AJ204" s="81"/>
      <c r="AK204" s="75"/>
      <c r="AL204" s="75"/>
    </row>
    <row r="205" spans="1:38" ht="15.75" hidden="1" thickBot="1" x14ac:dyDescent="0.3">
      <c r="A205" s="75"/>
      <c r="B205" s="75"/>
      <c r="C205" s="35">
        <f>INDEX(Données!$F$2:$L$54,MATCH(F205,Données!$F$2:$F$54,0),2)</f>
        <v>44053</v>
      </c>
      <c r="D205" s="29" t="str">
        <f t="shared" si="6"/>
        <v>#2</v>
      </c>
      <c r="E205" s="7">
        <f>Données!L34</f>
        <v>44058</v>
      </c>
      <c r="F205" s="6" t="str">
        <f>INDEX(Données!$F$2:$L$54,MATCH('#2'!E205,Données!$G$2:$G$54,1),1)</f>
        <v>33</v>
      </c>
      <c r="G205" s="18" t="str">
        <f t="shared" si="7"/>
        <v>PS-2</v>
      </c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1"/>
      <c r="W205" s="75"/>
      <c r="X205" s="75"/>
      <c r="Y205" s="75"/>
      <c r="Z205" s="96">
        <f>SUM(Tableau14[[#This Row],[A-1]:[G-5]])</f>
        <v>0</v>
      </c>
      <c r="AA205" s="96" t="str">
        <f>IF(AND(Z205&gt;0,Tableau14[[#This Row],[CDS]]=""),"Oui","Non")</f>
        <v>Non</v>
      </c>
      <c r="AB205" s="75"/>
      <c r="AC205" s="75"/>
      <c r="AD205" s="75"/>
      <c r="AE205" s="75"/>
      <c r="AF205" s="75"/>
      <c r="AG205" s="75"/>
      <c r="AH205" s="75"/>
      <c r="AI205" s="75"/>
      <c r="AJ205" s="81"/>
      <c r="AK205" s="75"/>
      <c r="AL205" s="75"/>
    </row>
    <row r="206" spans="1:38" ht="15.75" hidden="1" thickBot="1" x14ac:dyDescent="0.3">
      <c r="A206" s="75"/>
      <c r="B206" s="75"/>
      <c r="C206" s="35">
        <f>INDEX(Données!$F$2:$L$54,MATCH(F206,Données!$F$2:$F$54,0),2)</f>
        <v>44060</v>
      </c>
      <c r="D206" s="29" t="str">
        <f t="shared" si="6"/>
        <v>#2</v>
      </c>
      <c r="E206" s="7">
        <f>Données!G35</f>
        <v>44060</v>
      </c>
      <c r="F206" s="6" t="str">
        <f>INDEX(Données!$F$2:$L$54,MATCH('#2'!E206,Données!$G$2:$G$54,1),1)</f>
        <v>34</v>
      </c>
      <c r="G206" s="18" t="str">
        <f t="shared" si="7"/>
        <v>PS-2</v>
      </c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1"/>
      <c r="W206" s="75"/>
      <c r="X206" s="75"/>
      <c r="Y206" s="75"/>
      <c r="Z206" s="96">
        <f>SUM(Tableau14[[#This Row],[A-1]:[G-5]])</f>
        <v>0</v>
      </c>
      <c r="AA206" s="96" t="str">
        <f>IF(AND(Z206&gt;0,Tableau14[[#This Row],[CDS]]=""),"Oui","Non")</f>
        <v>Non</v>
      </c>
      <c r="AB206" s="75"/>
      <c r="AC206" s="75"/>
      <c r="AD206" s="75"/>
      <c r="AE206" s="75"/>
      <c r="AF206" s="75"/>
      <c r="AG206" s="75"/>
      <c r="AH206" s="75"/>
      <c r="AI206" s="75"/>
      <c r="AJ206" s="81"/>
      <c r="AK206" s="75"/>
      <c r="AL206" s="75"/>
    </row>
    <row r="207" spans="1:38" ht="15.75" hidden="1" thickBot="1" x14ac:dyDescent="0.3">
      <c r="A207" s="75"/>
      <c r="B207" s="75"/>
      <c r="C207" s="35">
        <f>INDEX(Données!$F$2:$L$54,MATCH(F207,Données!$F$2:$F$54,0),2)</f>
        <v>44060</v>
      </c>
      <c r="D207" s="29" t="str">
        <f t="shared" si="6"/>
        <v>#2</v>
      </c>
      <c r="E207" s="7">
        <f>Données!H35</f>
        <v>44061</v>
      </c>
      <c r="F207" s="6" t="str">
        <f>INDEX(Données!$F$2:$L$54,MATCH('#2'!E207,Données!$G$2:$G$54,1),1)</f>
        <v>34</v>
      </c>
      <c r="G207" s="18" t="str">
        <f t="shared" si="7"/>
        <v>PS-2</v>
      </c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1"/>
      <c r="W207" s="75"/>
      <c r="X207" s="75"/>
      <c r="Y207" s="75"/>
      <c r="Z207" s="96">
        <f>SUM(Tableau14[[#This Row],[A-1]:[G-5]])</f>
        <v>0</v>
      </c>
      <c r="AA207" s="96" t="str">
        <f>IF(AND(Z207&gt;0,Tableau14[[#This Row],[CDS]]=""),"Oui","Non")</f>
        <v>Non</v>
      </c>
      <c r="AB207" s="75"/>
      <c r="AC207" s="75"/>
      <c r="AD207" s="75"/>
      <c r="AE207" s="75"/>
      <c r="AF207" s="75"/>
      <c r="AG207" s="75"/>
      <c r="AH207" s="75"/>
      <c r="AI207" s="75"/>
      <c r="AJ207" s="81"/>
      <c r="AK207" s="75"/>
      <c r="AL207" s="75"/>
    </row>
    <row r="208" spans="1:38" ht="15.75" hidden="1" thickBot="1" x14ac:dyDescent="0.3">
      <c r="A208" s="75"/>
      <c r="B208" s="75"/>
      <c r="C208" s="35">
        <f>INDEX(Données!$F$2:$L$54,MATCH(F208,Données!$F$2:$F$54,0),2)</f>
        <v>44060</v>
      </c>
      <c r="D208" s="29" t="str">
        <f t="shared" si="6"/>
        <v>#2</v>
      </c>
      <c r="E208" s="7">
        <f>Données!I35</f>
        <v>44062</v>
      </c>
      <c r="F208" s="6" t="str">
        <f>INDEX(Données!$F$2:$L$54,MATCH('#2'!E208,Données!$G$2:$G$54,1),1)</f>
        <v>34</v>
      </c>
      <c r="G208" s="18" t="str">
        <f t="shared" si="7"/>
        <v>PS-2</v>
      </c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1"/>
      <c r="W208" s="75"/>
      <c r="X208" s="75"/>
      <c r="Y208" s="75"/>
      <c r="Z208" s="96">
        <f>SUM(Tableau14[[#This Row],[A-1]:[G-5]])</f>
        <v>0</v>
      </c>
      <c r="AA208" s="96" t="str">
        <f>IF(AND(Z208&gt;0,Tableau14[[#This Row],[CDS]]=""),"Oui","Non")</f>
        <v>Non</v>
      </c>
      <c r="AB208" s="75"/>
      <c r="AC208" s="75"/>
      <c r="AD208" s="75"/>
      <c r="AE208" s="75"/>
      <c r="AF208" s="75"/>
      <c r="AG208" s="75"/>
      <c r="AH208" s="75"/>
      <c r="AI208" s="75"/>
      <c r="AJ208" s="81"/>
      <c r="AK208" s="75"/>
      <c r="AL208" s="75"/>
    </row>
    <row r="209" spans="1:38" ht="15.75" hidden="1" thickBot="1" x14ac:dyDescent="0.3">
      <c r="A209" s="75"/>
      <c r="B209" s="75"/>
      <c r="C209" s="35">
        <f>INDEX(Données!$F$2:$L$54,MATCH(F209,Données!$F$2:$F$54,0),2)</f>
        <v>44060</v>
      </c>
      <c r="D209" s="29" t="str">
        <f t="shared" si="6"/>
        <v>#2</v>
      </c>
      <c r="E209" s="7">
        <f>Données!J35</f>
        <v>44063</v>
      </c>
      <c r="F209" s="6" t="str">
        <f>INDEX(Données!$F$2:$L$54,MATCH('#2'!E209,Données!$G$2:$G$54,1),1)</f>
        <v>34</v>
      </c>
      <c r="G209" s="18" t="str">
        <f t="shared" si="7"/>
        <v>PS-2</v>
      </c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1"/>
      <c r="W209" s="75"/>
      <c r="X209" s="75"/>
      <c r="Y209" s="75"/>
      <c r="Z209" s="96">
        <f>SUM(Tableau14[[#This Row],[A-1]:[G-5]])</f>
        <v>0</v>
      </c>
      <c r="AA209" s="96" t="str">
        <f>IF(AND(Z209&gt;0,Tableau14[[#This Row],[CDS]]=""),"Oui","Non")</f>
        <v>Non</v>
      </c>
      <c r="AB209" s="75"/>
      <c r="AC209" s="75"/>
      <c r="AD209" s="75"/>
      <c r="AE209" s="75"/>
      <c r="AF209" s="75"/>
      <c r="AG209" s="75"/>
      <c r="AH209" s="75"/>
      <c r="AI209" s="75"/>
      <c r="AJ209" s="81"/>
      <c r="AK209" s="75"/>
      <c r="AL209" s="75"/>
    </row>
    <row r="210" spans="1:38" ht="15.75" hidden="1" thickBot="1" x14ac:dyDescent="0.3">
      <c r="A210" s="75"/>
      <c r="B210" s="75"/>
      <c r="C210" s="35">
        <f>INDEX(Données!$F$2:$L$54,MATCH(F210,Données!$F$2:$F$54,0),2)</f>
        <v>44060</v>
      </c>
      <c r="D210" s="29" t="str">
        <f t="shared" si="6"/>
        <v>#2</v>
      </c>
      <c r="E210" s="7">
        <f>Données!K35</f>
        <v>44064</v>
      </c>
      <c r="F210" s="6" t="str">
        <f>INDEX(Données!$F$2:$L$54,MATCH('#2'!E210,Données!$G$2:$G$54,1),1)</f>
        <v>34</v>
      </c>
      <c r="G210" s="18" t="str">
        <f t="shared" si="7"/>
        <v>PS-2</v>
      </c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1"/>
      <c r="W210" s="75"/>
      <c r="X210" s="75"/>
      <c r="Y210" s="75"/>
      <c r="Z210" s="96">
        <f>SUM(Tableau14[[#This Row],[A-1]:[G-5]])</f>
        <v>0</v>
      </c>
      <c r="AA210" s="96" t="str">
        <f>IF(AND(Z210&gt;0,Tableau14[[#This Row],[CDS]]=""),"Oui","Non")</f>
        <v>Non</v>
      </c>
      <c r="AB210" s="75"/>
      <c r="AC210" s="75"/>
      <c r="AD210" s="75"/>
      <c r="AE210" s="75"/>
      <c r="AF210" s="75"/>
      <c r="AG210" s="75"/>
      <c r="AH210" s="75"/>
      <c r="AI210" s="75"/>
      <c r="AJ210" s="81"/>
      <c r="AK210" s="75"/>
      <c r="AL210" s="75"/>
    </row>
    <row r="211" spans="1:38" ht="15.75" hidden="1" thickBot="1" x14ac:dyDescent="0.3">
      <c r="A211" s="75"/>
      <c r="B211" s="75"/>
      <c r="C211" s="35">
        <f>INDEX(Données!$F$2:$L$54,MATCH(F211,Données!$F$2:$F$54,0),2)</f>
        <v>44060</v>
      </c>
      <c r="D211" s="29" t="str">
        <f t="shared" si="6"/>
        <v>#2</v>
      </c>
      <c r="E211" s="7">
        <f>Données!L35</f>
        <v>44065</v>
      </c>
      <c r="F211" s="6" t="str">
        <f>INDEX(Données!$F$2:$L$54,MATCH('#2'!E211,Données!$G$2:$G$54,1),1)</f>
        <v>34</v>
      </c>
      <c r="G211" s="18" t="str">
        <f t="shared" si="7"/>
        <v>PS-2</v>
      </c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1"/>
      <c r="W211" s="75"/>
      <c r="X211" s="75"/>
      <c r="Y211" s="75"/>
      <c r="Z211" s="96">
        <f>SUM(Tableau14[[#This Row],[A-1]:[G-5]])</f>
        <v>0</v>
      </c>
      <c r="AA211" s="96" t="str">
        <f>IF(AND(Z211&gt;0,Tableau14[[#This Row],[CDS]]=""),"Oui","Non")</f>
        <v>Non</v>
      </c>
      <c r="AB211" s="75"/>
      <c r="AC211" s="75"/>
      <c r="AD211" s="75"/>
      <c r="AE211" s="75"/>
      <c r="AF211" s="75"/>
      <c r="AG211" s="75"/>
      <c r="AH211" s="75"/>
      <c r="AI211" s="75"/>
      <c r="AJ211" s="81"/>
      <c r="AK211" s="75"/>
      <c r="AL211" s="75"/>
    </row>
    <row r="212" spans="1:38" ht="15.75" hidden="1" thickBot="1" x14ac:dyDescent="0.3">
      <c r="A212" s="75"/>
      <c r="B212" s="75"/>
      <c r="C212" s="35">
        <f>INDEX(Données!$F$2:$L$54,MATCH(F212,Données!$F$2:$F$54,0),2)</f>
        <v>44067</v>
      </c>
      <c r="D212" s="29" t="str">
        <f t="shared" si="6"/>
        <v>#2</v>
      </c>
      <c r="E212" s="7">
        <f>Données!G36</f>
        <v>44067</v>
      </c>
      <c r="F212" s="6" t="str">
        <f>INDEX(Données!$F$2:$L$54,MATCH('#2'!E212,Données!$G$2:$G$54,1),1)</f>
        <v>35</v>
      </c>
      <c r="G212" s="18" t="str">
        <f t="shared" si="7"/>
        <v>PS-2</v>
      </c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1"/>
      <c r="W212" s="75"/>
      <c r="X212" s="75"/>
      <c r="Y212" s="75"/>
      <c r="Z212" s="96">
        <f>SUM(Tableau14[[#This Row],[A-1]:[G-5]])</f>
        <v>0</v>
      </c>
      <c r="AA212" s="96" t="str">
        <f>IF(AND(Z212&gt;0,Tableau14[[#This Row],[CDS]]=""),"Oui","Non")</f>
        <v>Non</v>
      </c>
      <c r="AB212" s="75"/>
      <c r="AC212" s="75"/>
      <c r="AD212" s="75"/>
      <c r="AE212" s="75"/>
      <c r="AF212" s="75"/>
      <c r="AG212" s="75"/>
      <c r="AH212" s="75"/>
      <c r="AI212" s="75"/>
      <c r="AJ212" s="81"/>
      <c r="AK212" s="75"/>
      <c r="AL212" s="75"/>
    </row>
    <row r="213" spans="1:38" ht="15.75" hidden="1" thickBot="1" x14ac:dyDescent="0.3">
      <c r="A213" s="75"/>
      <c r="B213" s="75"/>
      <c r="C213" s="35">
        <f>INDEX(Données!$F$2:$L$54,MATCH(F213,Données!$F$2:$F$54,0),2)</f>
        <v>44067</v>
      </c>
      <c r="D213" s="29" t="str">
        <f t="shared" si="6"/>
        <v>#2</v>
      </c>
      <c r="E213" s="7">
        <f>Données!H36</f>
        <v>44068</v>
      </c>
      <c r="F213" s="6" t="str">
        <f>INDEX(Données!$F$2:$L$54,MATCH('#2'!E213,Données!$G$2:$G$54,1),1)</f>
        <v>35</v>
      </c>
      <c r="G213" s="18" t="str">
        <f t="shared" si="7"/>
        <v>PS-2</v>
      </c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1"/>
      <c r="W213" s="75"/>
      <c r="X213" s="75"/>
      <c r="Y213" s="75"/>
      <c r="Z213" s="96">
        <f>SUM(Tableau14[[#This Row],[A-1]:[G-5]])</f>
        <v>0</v>
      </c>
      <c r="AA213" s="96" t="str">
        <f>IF(AND(Z213&gt;0,Tableau14[[#This Row],[CDS]]=""),"Oui","Non")</f>
        <v>Non</v>
      </c>
      <c r="AB213" s="75"/>
      <c r="AC213" s="75"/>
      <c r="AD213" s="75"/>
      <c r="AE213" s="75"/>
      <c r="AF213" s="75"/>
      <c r="AG213" s="75"/>
      <c r="AH213" s="75"/>
      <c r="AI213" s="75"/>
      <c r="AJ213" s="81"/>
      <c r="AK213" s="75"/>
      <c r="AL213" s="75"/>
    </row>
    <row r="214" spans="1:38" ht="15.75" hidden="1" thickBot="1" x14ac:dyDescent="0.3">
      <c r="A214" s="75"/>
      <c r="B214" s="75"/>
      <c r="C214" s="35">
        <f>INDEX(Données!$F$2:$L$54,MATCH(F214,Données!$F$2:$F$54,0),2)</f>
        <v>44067</v>
      </c>
      <c r="D214" s="29" t="str">
        <f t="shared" si="6"/>
        <v>#2</v>
      </c>
      <c r="E214" s="7">
        <f>Données!I36</f>
        <v>44069</v>
      </c>
      <c r="F214" s="6" t="str">
        <f>INDEX(Données!$F$2:$L$54,MATCH('#2'!E214,Données!$G$2:$G$54,1),1)</f>
        <v>35</v>
      </c>
      <c r="G214" s="18" t="str">
        <f t="shared" si="7"/>
        <v>PS-2</v>
      </c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1"/>
      <c r="W214" s="75"/>
      <c r="X214" s="75"/>
      <c r="Y214" s="75"/>
      <c r="Z214" s="96">
        <f>SUM(Tableau14[[#This Row],[A-1]:[G-5]])</f>
        <v>0</v>
      </c>
      <c r="AA214" s="96" t="str">
        <f>IF(AND(Z214&gt;0,Tableau14[[#This Row],[CDS]]=""),"Oui","Non")</f>
        <v>Non</v>
      </c>
      <c r="AB214" s="75"/>
      <c r="AC214" s="75"/>
      <c r="AD214" s="75"/>
      <c r="AE214" s="75"/>
      <c r="AF214" s="75"/>
      <c r="AG214" s="75"/>
      <c r="AH214" s="75"/>
      <c r="AI214" s="75"/>
      <c r="AJ214" s="81"/>
      <c r="AK214" s="75"/>
      <c r="AL214" s="75"/>
    </row>
    <row r="215" spans="1:38" ht="15.75" hidden="1" thickBot="1" x14ac:dyDescent="0.3">
      <c r="A215" s="75"/>
      <c r="B215" s="75"/>
      <c r="C215" s="35">
        <f>INDEX(Données!$F$2:$L$54,MATCH(F215,Données!$F$2:$F$54,0),2)</f>
        <v>44067</v>
      </c>
      <c r="D215" s="29" t="str">
        <f t="shared" si="6"/>
        <v>#2</v>
      </c>
      <c r="E215" s="7">
        <f>Données!J36</f>
        <v>44070</v>
      </c>
      <c r="F215" s="6" t="str">
        <f>INDEX(Données!$F$2:$L$54,MATCH('#2'!E215,Données!$G$2:$G$54,1),1)</f>
        <v>35</v>
      </c>
      <c r="G215" s="18" t="str">
        <f t="shared" si="7"/>
        <v>PS-2</v>
      </c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1"/>
      <c r="W215" s="75"/>
      <c r="X215" s="75"/>
      <c r="Y215" s="75"/>
      <c r="Z215" s="96">
        <f>SUM(Tableau14[[#This Row],[A-1]:[G-5]])</f>
        <v>0</v>
      </c>
      <c r="AA215" s="96" t="str">
        <f>IF(AND(Z215&gt;0,Tableau14[[#This Row],[CDS]]=""),"Oui","Non")</f>
        <v>Non</v>
      </c>
      <c r="AB215" s="75"/>
      <c r="AC215" s="75"/>
      <c r="AD215" s="75"/>
      <c r="AE215" s="75"/>
      <c r="AF215" s="75"/>
      <c r="AG215" s="75"/>
      <c r="AH215" s="75"/>
      <c r="AI215" s="75"/>
      <c r="AJ215" s="81"/>
      <c r="AK215" s="75"/>
      <c r="AL215" s="75"/>
    </row>
    <row r="216" spans="1:38" ht="15.75" hidden="1" thickBot="1" x14ac:dyDescent="0.3">
      <c r="A216" s="75"/>
      <c r="B216" s="75"/>
      <c r="C216" s="35">
        <f>INDEX(Données!$F$2:$L$54,MATCH(F216,Données!$F$2:$F$54,0),2)</f>
        <v>44067</v>
      </c>
      <c r="D216" s="29" t="str">
        <f t="shared" si="6"/>
        <v>#2</v>
      </c>
      <c r="E216" s="7">
        <f>Données!K36</f>
        <v>44071</v>
      </c>
      <c r="F216" s="6" t="str">
        <f>INDEX(Données!$F$2:$L$54,MATCH('#2'!E216,Données!$G$2:$G$54,1),1)</f>
        <v>35</v>
      </c>
      <c r="G216" s="18" t="str">
        <f t="shared" si="7"/>
        <v>PS-2</v>
      </c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1"/>
      <c r="W216" s="75"/>
      <c r="X216" s="75"/>
      <c r="Y216" s="75"/>
      <c r="Z216" s="96">
        <f>SUM(Tableau14[[#This Row],[A-1]:[G-5]])</f>
        <v>0</v>
      </c>
      <c r="AA216" s="96" t="str">
        <f>IF(AND(Z216&gt;0,Tableau14[[#This Row],[CDS]]=""),"Oui","Non")</f>
        <v>Non</v>
      </c>
      <c r="AB216" s="75"/>
      <c r="AC216" s="75"/>
      <c r="AD216" s="75"/>
      <c r="AE216" s="75"/>
      <c r="AF216" s="75"/>
      <c r="AG216" s="75"/>
      <c r="AH216" s="75"/>
      <c r="AI216" s="75"/>
      <c r="AJ216" s="81"/>
      <c r="AK216" s="75"/>
      <c r="AL216" s="75"/>
    </row>
    <row r="217" spans="1:38" ht="15.75" hidden="1" thickBot="1" x14ac:dyDescent="0.3">
      <c r="A217" s="75"/>
      <c r="B217" s="75"/>
      <c r="C217" s="35">
        <f>INDEX(Données!$F$2:$L$54,MATCH(F217,Données!$F$2:$F$54,0),2)</f>
        <v>44067</v>
      </c>
      <c r="D217" s="29" t="str">
        <f t="shared" si="6"/>
        <v>#2</v>
      </c>
      <c r="E217" s="7">
        <f>Données!L36</f>
        <v>44072</v>
      </c>
      <c r="F217" s="6" t="str">
        <f>INDEX(Données!$F$2:$L$54,MATCH('#2'!E217,Données!$G$2:$G$54,1),1)</f>
        <v>35</v>
      </c>
      <c r="G217" s="18" t="str">
        <f t="shared" si="7"/>
        <v>PS-2</v>
      </c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1"/>
      <c r="W217" s="75"/>
      <c r="X217" s="75"/>
      <c r="Y217" s="75"/>
      <c r="Z217" s="96">
        <f>SUM(Tableau14[[#This Row],[A-1]:[G-5]])</f>
        <v>0</v>
      </c>
      <c r="AA217" s="96" t="str">
        <f>IF(AND(Z217&gt;0,Tableau14[[#This Row],[CDS]]=""),"Oui","Non")</f>
        <v>Non</v>
      </c>
      <c r="AB217" s="75"/>
      <c r="AC217" s="75"/>
      <c r="AD217" s="75"/>
      <c r="AE217" s="75"/>
      <c r="AF217" s="75"/>
      <c r="AG217" s="75"/>
      <c r="AH217" s="75"/>
      <c r="AI217" s="75"/>
      <c r="AJ217" s="81"/>
      <c r="AK217" s="75"/>
      <c r="AL217" s="75"/>
    </row>
    <row r="218" spans="1:38" ht="15.75" hidden="1" thickBot="1" x14ac:dyDescent="0.3">
      <c r="A218" s="75"/>
      <c r="B218" s="75"/>
      <c r="C218" s="35">
        <f>INDEX(Données!$F$2:$L$54,MATCH(F218,Données!$F$2:$F$54,0),2)</f>
        <v>44074</v>
      </c>
      <c r="D218" s="29" t="str">
        <f t="shared" si="6"/>
        <v>#2</v>
      </c>
      <c r="E218" s="7">
        <f>Données!G37</f>
        <v>44074</v>
      </c>
      <c r="F218" s="6" t="str">
        <f>INDEX(Données!$F$2:$L$54,MATCH('#2'!E218,Données!$G$2:$G$54,1),1)</f>
        <v>36</v>
      </c>
      <c r="G218" s="18" t="str">
        <f t="shared" si="7"/>
        <v>PS-2</v>
      </c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1"/>
      <c r="W218" s="75"/>
      <c r="X218" s="75"/>
      <c r="Y218" s="75"/>
      <c r="Z218" s="96">
        <f>SUM(Tableau14[[#This Row],[A-1]:[G-5]])</f>
        <v>0</v>
      </c>
      <c r="AA218" s="96" t="str">
        <f>IF(AND(Z218&gt;0,Tableau14[[#This Row],[CDS]]=""),"Oui","Non")</f>
        <v>Non</v>
      </c>
      <c r="AB218" s="75"/>
      <c r="AC218" s="75"/>
      <c r="AD218" s="75"/>
      <c r="AE218" s="75"/>
      <c r="AF218" s="75"/>
      <c r="AG218" s="75"/>
      <c r="AH218" s="75"/>
      <c r="AI218" s="75"/>
      <c r="AJ218" s="81"/>
      <c r="AK218" s="75"/>
      <c r="AL218" s="75"/>
    </row>
    <row r="219" spans="1:38" ht="15.75" hidden="1" thickBot="1" x14ac:dyDescent="0.3">
      <c r="A219" s="75"/>
      <c r="B219" s="75"/>
      <c r="C219" s="35">
        <f>INDEX(Données!$F$2:$L$54,MATCH(F219,Données!$F$2:$F$54,0),2)</f>
        <v>44074</v>
      </c>
      <c r="D219" s="29" t="str">
        <f t="shared" si="6"/>
        <v>#2</v>
      </c>
      <c r="E219" s="7">
        <f>Données!H37</f>
        <v>44075</v>
      </c>
      <c r="F219" s="6" t="str">
        <f>INDEX(Données!$F$2:$L$54,MATCH('#2'!E219,Données!$G$2:$G$54,1),1)</f>
        <v>36</v>
      </c>
      <c r="G219" s="18" t="str">
        <f t="shared" si="7"/>
        <v>PS-2</v>
      </c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1"/>
      <c r="W219" s="75"/>
      <c r="X219" s="75"/>
      <c r="Y219" s="75"/>
      <c r="Z219" s="96">
        <f>SUM(Tableau14[[#This Row],[A-1]:[G-5]])</f>
        <v>0</v>
      </c>
      <c r="AA219" s="96" t="str">
        <f>IF(AND(Z219&gt;0,Tableau14[[#This Row],[CDS]]=""),"Oui","Non")</f>
        <v>Non</v>
      </c>
      <c r="AB219" s="75"/>
      <c r="AC219" s="75"/>
      <c r="AD219" s="75"/>
      <c r="AE219" s="75"/>
      <c r="AF219" s="75"/>
      <c r="AG219" s="75"/>
      <c r="AH219" s="75"/>
      <c r="AI219" s="75"/>
      <c r="AJ219" s="81"/>
      <c r="AK219" s="75"/>
      <c r="AL219" s="75"/>
    </row>
    <row r="220" spans="1:38" ht="15.75" hidden="1" thickBot="1" x14ac:dyDescent="0.3">
      <c r="A220" s="75"/>
      <c r="B220" s="75"/>
      <c r="C220" s="35">
        <f>INDEX(Données!$F$2:$L$54,MATCH(F220,Données!$F$2:$F$54,0),2)</f>
        <v>44074</v>
      </c>
      <c r="D220" s="29" t="str">
        <f t="shared" si="6"/>
        <v>#2</v>
      </c>
      <c r="E220" s="7">
        <f>Données!I37</f>
        <v>44076</v>
      </c>
      <c r="F220" s="6" t="str">
        <f>INDEX(Données!$F$2:$L$54,MATCH('#2'!E220,Données!$G$2:$G$54,1),1)</f>
        <v>36</v>
      </c>
      <c r="G220" s="18" t="str">
        <f t="shared" si="7"/>
        <v>PS-2</v>
      </c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1"/>
      <c r="W220" s="75"/>
      <c r="X220" s="75"/>
      <c r="Y220" s="75"/>
      <c r="Z220" s="96">
        <f>SUM(Tableau14[[#This Row],[A-1]:[G-5]])</f>
        <v>0</v>
      </c>
      <c r="AA220" s="96" t="str">
        <f>IF(AND(Z220&gt;0,Tableau14[[#This Row],[CDS]]=""),"Oui","Non")</f>
        <v>Non</v>
      </c>
      <c r="AB220" s="75"/>
      <c r="AC220" s="75"/>
      <c r="AD220" s="75"/>
      <c r="AE220" s="75"/>
      <c r="AF220" s="75"/>
      <c r="AG220" s="75"/>
      <c r="AH220" s="75"/>
      <c r="AI220" s="75"/>
      <c r="AJ220" s="81"/>
      <c r="AK220" s="75"/>
      <c r="AL220" s="75"/>
    </row>
    <row r="221" spans="1:38" ht="15.75" hidden="1" thickBot="1" x14ac:dyDescent="0.3">
      <c r="A221" s="75"/>
      <c r="B221" s="75"/>
      <c r="C221" s="35">
        <f>INDEX(Données!$F$2:$L$54,MATCH(F221,Données!$F$2:$F$54,0),2)</f>
        <v>44074</v>
      </c>
      <c r="D221" s="29" t="str">
        <f t="shared" si="6"/>
        <v>#2</v>
      </c>
      <c r="E221" s="7">
        <f>Données!J37</f>
        <v>44077</v>
      </c>
      <c r="F221" s="6" t="str">
        <f>INDEX(Données!$F$2:$L$54,MATCH('#2'!E221,Données!$G$2:$G$54,1),1)</f>
        <v>36</v>
      </c>
      <c r="G221" s="18" t="str">
        <f t="shared" si="7"/>
        <v>PS-2</v>
      </c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1"/>
      <c r="W221" s="75"/>
      <c r="X221" s="75"/>
      <c r="Y221" s="75"/>
      <c r="Z221" s="96">
        <f>SUM(Tableau14[[#This Row],[A-1]:[G-5]])</f>
        <v>0</v>
      </c>
      <c r="AA221" s="96" t="str">
        <f>IF(AND(Z221&gt;0,Tableau14[[#This Row],[CDS]]=""),"Oui","Non")</f>
        <v>Non</v>
      </c>
      <c r="AB221" s="75"/>
      <c r="AC221" s="75"/>
      <c r="AD221" s="75"/>
      <c r="AE221" s="75"/>
      <c r="AF221" s="75"/>
      <c r="AG221" s="75"/>
      <c r="AH221" s="75"/>
      <c r="AI221" s="75"/>
      <c r="AJ221" s="81"/>
      <c r="AK221" s="75"/>
      <c r="AL221" s="75"/>
    </row>
    <row r="222" spans="1:38" ht="15.75" hidden="1" thickBot="1" x14ac:dyDescent="0.3">
      <c r="A222" s="75"/>
      <c r="B222" s="75"/>
      <c r="C222" s="35">
        <f>INDEX(Données!$F$2:$L$54,MATCH(F222,Données!$F$2:$F$54,0),2)</f>
        <v>44074</v>
      </c>
      <c r="D222" s="29" t="str">
        <f t="shared" si="6"/>
        <v>#2</v>
      </c>
      <c r="E222" s="7">
        <f>Données!K37</f>
        <v>44078</v>
      </c>
      <c r="F222" s="6" t="str">
        <f>INDEX(Données!$F$2:$L$54,MATCH('#2'!E222,Données!$G$2:$G$54,1),1)</f>
        <v>36</v>
      </c>
      <c r="G222" s="18" t="str">
        <f t="shared" si="7"/>
        <v>PS-2</v>
      </c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1"/>
      <c r="W222" s="75"/>
      <c r="X222" s="75"/>
      <c r="Y222" s="75"/>
      <c r="Z222" s="96">
        <f>SUM(Tableau14[[#This Row],[A-1]:[G-5]])</f>
        <v>0</v>
      </c>
      <c r="AA222" s="96" t="str">
        <f>IF(AND(Z222&gt;0,Tableau14[[#This Row],[CDS]]=""),"Oui","Non")</f>
        <v>Non</v>
      </c>
      <c r="AB222" s="75"/>
      <c r="AC222" s="75"/>
      <c r="AD222" s="75"/>
      <c r="AE222" s="75"/>
      <c r="AF222" s="75"/>
      <c r="AG222" s="75"/>
      <c r="AH222" s="75"/>
      <c r="AI222" s="75"/>
      <c r="AJ222" s="81"/>
      <c r="AK222" s="75"/>
      <c r="AL222" s="75"/>
    </row>
    <row r="223" spans="1:38" ht="15.75" hidden="1" thickBot="1" x14ac:dyDescent="0.3">
      <c r="A223" s="75"/>
      <c r="B223" s="75"/>
      <c r="C223" s="35">
        <f>INDEX(Données!$F$2:$L$54,MATCH(F223,Données!$F$2:$F$54,0),2)</f>
        <v>44074</v>
      </c>
      <c r="D223" s="29" t="str">
        <f t="shared" si="6"/>
        <v>#2</v>
      </c>
      <c r="E223" s="7">
        <f>Données!L37</f>
        <v>44079</v>
      </c>
      <c r="F223" s="6" t="str">
        <f>INDEX(Données!$F$2:$L$54,MATCH('#2'!E223,Données!$G$2:$G$54,1),1)</f>
        <v>36</v>
      </c>
      <c r="G223" s="18" t="str">
        <f t="shared" si="7"/>
        <v>PS-2</v>
      </c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1"/>
      <c r="W223" s="75"/>
      <c r="X223" s="75"/>
      <c r="Y223" s="75"/>
      <c r="Z223" s="96">
        <f>SUM(Tableau14[[#This Row],[A-1]:[G-5]])</f>
        <v>0</v>
      </c>
      <c r="AA223" s="96" t="str">
        <f>IF(AND(Z223&gt;0,Tableau14[[#This Row],[CDS]]=""),"Oui","Non")</f>
        <v>Non</v>
      </c>
      <c r="AB223" s="75"/>
      <c r="AC223" s="75"/>
      <c r="AD223" s="75"/>
      <c r="AE223" s="75"/>
      <c r="AF223" s="75"/>
      <c r="AG223" s="75"/>
      <c r="AH223" s="75"/>
      <c r="AI223" s="75"/>
      <c r="AJ223" s="81"/>
      <c r="AK223" s="75"/>
      <c r="AL223" s="75"/>
    </row>
    <row r="224" spans="1:38" ht="15.75" hidden="1" thickBot="1" x14ac:dyDescent="0.3">
      <c r="A224" s="75"/>
      <c r="B224" s="75"/>
      <c r="C224" s="35">
        <f>INDEX(Données!$F$2:$L$54,MATCH(F224,Données!$F$2:$F$54,0),2)</f>
        <v>44081</v>
      </c>
      <c r="D224" s="29" t="str">
        <f t="shared" si="6"/>
        <v>#2</v>
      </c>
      <c r="E224" s="7">
        <f>Données!G38</f>
        <v>44081</v>
      </c>
      <c r="F224" s="6" t="str">
        <f>INDEX(Données!$F$2:$L$54,MATCH('#2'!E224,Données!$G$2:$G$54,1),1)</f>
        <v>37</v>
      </c>
      <c r="G224" s="18" t="str">
        <f t="shared" si="7"/>
        <v>PS-2</v>
      </c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1"/>
      <c r="W224" s="75"/>
      <c r="X224" s="75"/>
      <c r="Y224" s="75"/>
      <c r="Z224" s="96">
        <f>SUM(Tableau14[[#This Row],[A-1]:[G-5]])</f>
        <v>0</v>
      </c>
      <c r="AA224" s="96" t="str">
        <f>IF(AND(Z224&gt;0,Tableau14[[#This Row],[CDS]]=""),"Oui","Non")</f>
        <v>Non</v>
      </c>
      <c r="AB224" s="75"/>
      <c r="AC224" s="75"/>
      <c r="AD224" s="75"/>
      <c r="AE224" s="75"/>
      <c r="AF224" s="75"/>
      <c r="AG224" s="75"/>
      <c r="AH224" s="75"/>
      <c r="AI224" s="75"/>
      <c r="AJ224" s="81"/>
      <c r="AK224" s="75"/>
      <c r="AL224" s="75"/>
    </row>
    <row r="225" spans="1:38" ht="15.75" hidden="1" thickBot="1" x14ac:dyDescent="0.3">
      <c r="A225" s="75"/>
      <c r="B225" s="75"/>
      <c r="C225" s="35">
        <f>INDEX(Données!$F$2:$L$54,MATCH(F225,Données!$F$2:$F$54,0),2)</f>
        <v>44081</v>
      </c>
      <c r="D225" s="29" t="str">
        <f t="shared" si="6"/>
        <v>#2</v>
      </c>
      <c r="E225" s="7">
        <f>Données!H38</f>
        <v>44082</v>
      </c>
      <c r="F225" s="6" t="str">
        <f>INDEX(Données!$F$2:$L$54,MATCH('#2'!E225,Données!$G$2:$G$54,1),1)</f>
        <v>37</v>
      </c>
      <c r="G225" s="18" t="str">
        <f t="shared" si="7"/>
        <v>PS-2</v>
      </c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1"/>
      <c r="W225" s="75"/>
      <c r="X225" s="75"/>
      <c r="Y225" s="75"/>
      <c r="Z225" s="96">
        <f>SUM(Tableau14[[#This Row],[A-1]:[G-5]])</f>
        <v>0</v>
      </c>
      <c r="AA225" s="96" t="str">
        <f>IF(AND(Z225&gt;0,Tableau14[[#This Row],[CDS]]=""),"Oui","Non")</f>
        <v>Non</v>
      </c>
      <c r="AB225" s="75"/>
      <c r="AC225" s="75"/>
      <c r="AD225" s="75"/>
      <c r="AE225" s="75"/>
      <c r="AF225" s="75"/>
      <c r="AG225" s="75"/>
      <c r="AH225" s="75"/>
      <c r="AI225" s="75"/>
      <c r="AJ225" s="81"/>
      <c r="AK225" s="75"/>
      <c r="AL225" s="75"/>
    </row>
    <row r="226" spans="1:38" ht="15.75" hidden="1" thickBot="1" x14ac:dyDescent="0.3">
      <c r="A226" s="75"/>
      <c r="B226" s="75"/>
      <c r="C226" s="35">
        <f>INDEX(Données!$F$2:$L$54,MATCH(F226,Données!$F$2:$F$54,0),2)</f>
        <v>44081</v>
      </c>
      <c r="D226" s="29" t="str">
        <f t="shared" si="6"/>
        <v>#2</v>
      </c>
      <c r="E226" s="7">
        <f>Données!I38</f>
        <v>44083</v>
      </c>
      <c r="F226" s="6" t="str">
        <f>INDEX(Données!$F$2:$L$54,MATCH('#2'!E226,Données!$G$2:$G$54,1),1)</f>
        <v>37</v>
      </c>
      <c r="G226" s="18" t="str">
        <f t="shared" si="7"/>
        <v>PS-2</v>
      </c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1"/>
      <c r="W226" s="75"/>
      <c r="X226" s="75"/>
      <c r="Y226" s="75"/>
      <c r="Z226" s="96">
        <f>SUM(Tableau14[[#This Row],[A-1]:[G-5]])</f>
        <v>0</v>
      </c>
      <c r="AA226" s="96" t="str">
        <f>IF(AND(Z226&gt;0,Tableau14[[#This Row],[CDS]]=""),"Oui","Non")</f>
        <v>Non</v>
      </c>
      <c r="AB226" s="75"/>
      <c r="AC226" s="75"/>
      <c r="AD226" s="75"/>
      <c r="AE226" s="75"/>
      <c r="AF226" s="75"/>
      <c r="AG226" s="75"/>
      <c r="AH226" s="75"/>
      <c r="AI226" s="75"/>
      <c r="AJ226" s="81"/>
      <c r="AK226" s="75"/>
      <c r="AL226" s="75"/>
    </row>
    <row r="227" spans="1:38" ht="15.75" hidden="1" thickBot="1" x14ac:dyDescent="0.3">
      <c r="A227" s="75"/>
      <c r="B227" s="75"/>
      <c r="C227" s="35">
        <f>INDEX(Données!$F$2:$L$54,MATCH(F227,Données!$F$2:$F$54,0),2)</f>
        <v>44081</v>
      </c>
      <c r="D227" s="29" t="str">
        <f t="shared" si="6"/>
        <v>#2</v>
      </c>
      <c r="E227" s="7">
        <f>Données!J38</f>
        <v>44084</v>
      </c>
      <c r="F227" s="6" t="str">
        <f>INDEX(Données!$F$2:$L$54,MATCH('#2'!E227,Données!$G$2:$G$54,1),1)</f>
        <v>37</v>
      </c>
      <c r="G227" s="18" t="str">
        <f t="shared" si="7"/>
        <v>PS-2</v>
      </c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1"/>
      <c r="W227" s="75"/>
      <c r="X227" s="75"/>
      <c r="Y227" s="75"/>
      <c r="Z227" s="96">
        <f>SUM(Tableau14[[#This Row],[A-1]:[G-5]])</f>
        <v>0</v>
      </c>
      <c r="AA227" s="96" t="str">
        <f>IF(AND(Z227&gt;0,Tableau14[[#This Row],[CDS]]=""),"Oui","Non")</f>
        <v>Non</v>
      </c>
      <c r="AB227" s="75"/>
      <c r="AC227" s="75"/>
      <c r="AD227" s="75"/>
      <c r="AE227" s="75"/>
      <c r="AF227" s="75"/>
      <c r="AG227" s="75"/>
      <c r="AH227" s="75"/>
      <c r="AI227" s="75"/>
      <c r="AJ227" s="81"/>
      <c r="AK227" s="75"/>
      <c r="AL227" s="75"/>
    </row>
    <row r="228" spans="1:38" ht="15.75" hidden="1" thickBot="1" x14ac:dyDescent="0.3">
      <c r="A228" s="75"/>
      <c r="B228" s="75"/>
      <c r="C228" s="35">
        <f>INDEX(Données!$F$2:$L$54,MATCH(F228,Données!$F$2:$F$54,0),2)</f>
        <v>44081</v>
      </c>
      <c r="D228" s="29" t="str">
        <f t="shared" si="6"/>
        <v>#2</v>
      </c>
      <c r="E228" s="7">
        <f>Données!K38</f>
        <v>44085</v>
      </c>
      <c r="F228" s="6" t="str">
        <f>INDEX(Données!$F$2:$L$54,MATCH('#2'!E228,Données!$G$2:$G$54,1),1)</f>
        <v>37</v>
      </c>
      <c r="G228" s="18" t="str">
        <f t="shared" si="7"/>
        <v>PS-2</v>
      </c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1"/>
      <c r="W228" s="75"/>
      <c r="X228" s="75"/>
      <c r="Y228" s="75"/>
      <c r="Z228" s="96">
        <f>SUM(Tableau14[[#This Row],[A-1]:[G-5]])</f>
        <v>0</v>
      </c>
      <c r="AA228" s="96" t="str">
        <f>IF(AND(Z228&gt;0,Tableau14[[#This Row],[CDS]]=""),"Oui","Non")</f>
        <v>Non</v>
      </c>
      <c r="AB228" s="75"/>
      <c r="AC228" s="75"/>
      <c r="AD228" s="75"/>
      <c r="AE228" s="75"/>
      <c r="AF228" s="75"/>
      <c r="AG228" s="75"/>
      <c r="AH228" s="75"/>
      <c r="AI228" s="75"/>
      <c r="AJ228" s="81"/>
      <c r="AK228" s="75"/>
      <c r="AL228" s="75"/>
    </row>
    <row r="229" spans="1:38" ht="15.75" hidden="1" thickBot="1" x14ac:dyDescent="0.3">
      <c r="A229" s="75"/>
      <c r="B229" s="75"/>
      <c r="C229" s="35">
        <f>INDEX(Données!$F$2:$L$54,MATCH(F229,Données!$F$2:$F$54,0),2)</f>
        <v>44081</v>
      </c>
      <c r="D229" s="29" t="str">
        <f t="shared" si="6"/>
        <v>#2</v>
      </c>
      <c r="E229" s="7">
        <f>Données!L38</f>
        <v>44086</v>
      </c>
      <c r="F229" s="6" t="str">
        <f>INDEX(Données!$F$2:$L$54,MATCH('#2'!E229,Données!$G$2:$G$54,1),1)</f>
        <v>37</v>
      </c>
      <c r="G229" s="18" t="str">
        <f t="shared" si="7"/>
        <v>PS-2</v>
      </c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1"/>
      <c r="W229" s="75"/>
      <c r="X229" s="75"/>
      <c r="Y229" s="75"/>
      <c r="Z229" s="96">
        <f>SUM(Tableau14[[#This Row],[A-1]:[G-5]])</f>
        <v>0</v>
      </c>
      <c r="AA229" s="96" t="str">
        <f>IF(AND(Z229&gt;0,Tableau14[[#This Row],[CDS]]=""),"Oui","Non")</f>
        <v>Non</v>
      </c>
      <c r="AB229" s="75"/>
      <c r="AC229" s="75"/>
      <c r="AD229" s="75"/>
      <c r="AE229" s="75"/>
      <c r="AF229" s="75"/>
      <c r="AG229" s="75"/>
      <c r="AH229" s="75"/>
      <c r="AI229" s="75"/>
      <c r="AJ229" s="81"/>
      <c r="AK229" s="75"/>
      <c r="AL229" s="75"/>
    </row>
    <row r="230" spans="1:38" ht="15.75" hidden="1" thickBot="1" x14ac:dyDescent="0.3">
      <c r="A230" s="75"/>
      <c r="B230" s="75"/>
      <c r="C230" s="35">
        <f>INDEX(Données!$F$2:$L$54,MATCH(F230,Données!$F$2:$F$54,0),2)</f>
        <v>44088</v>
      </c>
      <c r="D230" s="29" t="str">
        <f t="shared" si="6"/>
        <v>#2</v>
      </c>
      <c r="E230" s="7">
        <f>Données!G39</f>
        <v>44088</v>
      </c>
      <c r="F230" s="6" t="str">
        <f>INDEX(Données!$F$2:$L$54,MATCH('#2'!E230,Données!$G$2:$G$54,1),1)</f>
        <v>38</v>
      </c>
      <c r="G230" s="18" t="str">
        <f t="shared" si="7"/>
        <v>PS-2</v>
      </c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1"/>
      <c r="W230" s="75"/>
      <c r="X230" s="75"/>
      <c r="Y230" s="75"/>
      <c r="Z230" s="96">
        <f>SUM(Tableau14[[#This Row],[A-1]:[G-5]])</f>
        <v>0</v>
      </c>
      <c r="AA230" s="96" t="str">
        <f>IF(AND(Z230&gt;0,Tableau14[[#This Row],[CDS]]=""),"Oui","Non")</f>
        <v>Non</v>
      </c>
      <c r="AB230" s="75"/>
      <c r="AC230" s="75"/>
      <c r="AD230" s="75"/>
      <c r="AE230" s="75"/>
      <c r="AF230" s="75"/>
      <c r="AG230" s="75"/>
      <c r="AH230" s="75"/>
      <c r="AI230" s="75"/>
      <c r="AJ230" s="81"/>
      <c r="AK230" s="75"/>
      <c r="AL230" s="75"/>
    </row>
    <row r="231" spans="1:38" ht="15.75" hidden="1" thickBot="1" x14ac:dyDescent="0.3">
      <c r="A231" s="75"/>
      <c r="B231" s="75"/>
      <c r="C231" s="35">
        <f>INDEX(Données!$F$2:$L$54,MATCH(F231,Données!$F$2:$F$54,0),2)</f>
        <v>44088</v>
      </c>
      <c r="D231" s="29" t="str">
        <f t="shared" si="6"/>
        <v>#2</v>
      </c>
      <c r="E231" s="7">
        <f>Données!H39</f>
        <v>44089</v>
      </c>
      <c r="F231" s="6" t="str">
        <f>INDEX(Données!$F$2:$L$54,MATCH('#2'!E231,Données!$G$2:$G$54,1),1)</f>
        <v>38</v>
      </c>
      <c r="G231" s="18" t="str">
        <f t="shared" si="7"/>
        <v>PS-2</v>
      </c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1"/>
      <c r="W231" s="75"/>
      <c r="X231" s="75"/>
      <c r="Y231" s="75"/>
      <c r="Z231" s="96">
        <f>SUM(Tableau14[[#This Row],[A-1]:[G-5]])</f>
        <v>0</v>
      </c>
      <c r="AA231" s="96" t="str">
        <f>IF(AND(Z231&gt;0,Tableau14[[#This Row],[CDS]]=""),"Oui","Non")</f>
        <v>Non</v>
      </c>
      <c r="AB231" s="75"/>
      <c r="AC231" s="75"/>
      <c r="AD231" s="75"/>
      <c r="AE231" s="75"/>
      <c r="AF231" s="75"/>
      <c r="AG231" s="75"/>
      <c r="AH231" s="75"/>
      <c r="AI231" s="75"/>
      <c r="AJ231" s="81"/>
      <c r="AK231" s="75"/>
      <c r="AL231" s="75"/>
    </row>
    <row r="232" spans="1:38" ht="15.75" hidden="1" thickBot="1" x14ac:dyDescent="0.3">
      <c r="A232" s="75"/>
      <c r="B232" s="75"/>
      <c r="C232" s="35">
        <f>INDEX(Données!$F$2:$L$54,MATCH(F232,Données!$F$2:$F$54,0),2)</f>
        <v>44088</v>
      </c>
      <c r="D232" s="29" t="str">
        <f t="shared" si="6"/>
        <v>#2</v>
      </c>
      <c r="E232" s="7">
        <f>Données!I39</f>
        <v>44090</v>
      </c>
      <c r="F232" s="6" t="str">
        <f>INDEX(Données!$F$2:$L$54,MATCH('#2'!E232,Données!$G$2:$G$54,1),1)</f>
        <v>38</v>
      </c>
      <c r="G232" s="18" t="str">
        <f t="shared" si="7"/>
        <v>PS-2</v>
      </c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1"/>
      <c r="W232" s="75"/>
      <c r="X232" s="75"/>
      <c r="Y232" s="75"/>
      <c r="Z232" s="96">
        <f>SUM(Tableau14[[#This Row],[A-1]:[G-5]])</f>
        <v>0</v>
      </c>
      <c r="AA232" s="96" t="str">
        <f>IF(AND(Z232&gt;0,Tableau14[[#This Row],[CDS]]=""),"Oui","Non")</f>
        <v>Non</v>
      </c>
      <c r="AB232" s="75"/>
      <c r="AC232" s="75"/>
      <c r="AD232" s="75"/>
      <c r="AE232" s="75"/>
      <c r="AF232" s="75"/>
      <c r="AG232" s="75"/>
      <c r="AH232" s="75"/>
      <c r="AI232" s="75"/>
      <c r="AJ232" s="81"/>
      <c r="AK232" s="75"/>
      <c r="AL232" s="75"/>
    </row>
    <row r="233" spans="1:38" ht="15.75" hidden="1" thickBot="1" x14ac:dyDescent="0.3">
      <c r="A233" s="75"/>
      <c r="B233" s="75"/>
      <c r="C233" s="35">
        <f>INDEX(Données!$F$2:$L$54,MATCH(F233,Données!$F$2:$F$54,0),2)</f>
        <v>44088</v>
      </c>
      <c r="D233" s="29" t="str">
        <f t="shared" si="6"/>
        <v>#2</v>
      </c>
      <c r="E233" s="7">
        <f>Données!J39</f>
        <v>44091</v>
      </c>
      <c r="F233" s="6" t="str">
        <f>INDEX(Données!$F$2:$L$54,MATCH('#2'!E233,Données!$G$2:$G$54,1),1)</f>
        <v>38</v>
      </c>
      <c r="G233" s="18" t="str">
        <f t="shared" si="7"/>
        <v>PS-2</v>
      </c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1"/>
      <c r="W233" s="75"/>
      <c r="X233" s="75"/>
      <c r="Y233" s="75"/>
      <c r="Z233" s="96">
        <f>SUM(Tableau14[[#This Row],[A-1]:[G-5]])</f>
        <v>0</v>
      </c>
      <c r="AA233" s="96" t="str">
        <f>IF(AND(Z233&gt;0,Tableau14[[#This Row],[CDS]]=""),"Oui","Non")</f>
        <v>Non</v>
      </c>
      <c r="AB233" s="75"/>
      <c r="AC233" s="75"/>
      <c r="AD233" s="75"/>
      <c r="AE233" s="75"/>
      <c r="AF233" s="75"/>
      <c r="AG233" s="75"/>
      <c r="AH233" s="75"/>
      <c r="AI233" s="75"/>
      <c r="AJ233" s="81"/>
      <c r="AK233" s="75"/>
      <c r="AL233" s="75"/>
    </row>
    <row r="234" spans="1:38" ht="15.75" hidden="1" thickBot="1" x14ac:dyDescent="0.3">
      <c r="A234" s="75"/>
      <c r="B234" s="75"/>
      <c r="C234" s="35">
        <f>INDEX(Données!$F$2:$L$54,MATCH(F234,Données!$F$2:$F$54,0),2)</f>
        <v>44088</v>
      </c>
      <c r="D234" s="29" t="str">
        <f t="shared" si="6"/>
        <v>#2</v>
      </c>
      <c r="E234" s="7">
        <f>Données!K39</f>
        <v>44092</v>
      </c>
      <c r="F234" s="6" t="str">
        <f>INDEX(Données!$F$2:$L$54,MATCH('#2'!E234,Données!$G$2:$G$54,1),1)</f>
        <v>38</v>
      </c>
      <c r="G234" s="18" t="str">
        <f t="shared" si="7"/>
        <v>PS-2</v>
      </c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1"/>
      <c r="W234" s="75"/>
      <c r="X234" s="75"/>
      <c r="Y234" s="75"/>
      <c r="Z234" s="96">
        <f>SUM(Tableau14[[#This Row],[A-1]:[G-5]])</f>
        <v>0</v>
      </c>
      <c r="AA234" s="96" t="str">
        <f>IF(AND(Z234&gt;0,Tableau14[[#This Row],[CDS]]=""),"Oui","Non")</f>
        <v>Non</v>
      </c>
      <c r="AB234" s="75"/>
      <c r="AC234" s="75"/>
      <c r="AD234" s="75"/>
      <c r="AE234" s="75"/>
      <c r="AF234" s="75"/>
      <c r="AG234" s="75"/>
      <c r="AH234" s="75"/>
      <c r="AI234" s="75"/>
      <c r="AJ234" s="81"/>
      <c r="AK234" s="75"/>
      <c r="AL234" s="75"/>
    </row>
    <row r="235" spans="1:38" ht="15.75" hidden="1" thickBot="1" x14ac:dyDescent="0.3">
      <c r="A235" s="75"/>
      <c r="B235" s="75"/>
      <c r="C235" s="35">
        <f>INDEX(Données!$F$2:$L$54,MATCH(F235,Données!$F$2:$F$54,0),2)</f>
        <v>44088</v>
      </c>
      <c r="D235" s="29" t="str">
        <f t="shared" si="6"/>
        <v>#2</v>
      </c>
      <c r="E235" s="7">
        <f>Données!L39</f>
        <v>44093</v>
      </c>
      <c r="F235" s="6" t="str">
        <f>INDEX(Données!$F$2:$L$54,MATCH('#2'!E235,Données!$G$2:$G$54,1),1)</f>
        <v>38</v>
      </c>
      <c r="G235" s="18" t="str">
        <f t="shared" si="7"/>
        <v>PS-2</v>
      </c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1"/>
      <c r="W235" s="75"/>
      <c r="X235" s="75"/>
      <c r="Y235" s="75"/>
      <c r="Z235" s="96">
        <f>SUM(Tableau14[[#This Row],[A-1]:[G-5]])</f>
        <v>0</v>
      </c>
      <c r="AA235" s="96" t="str">
        <f>IF(AND(Z235&gt;0,Tableau14[[#This Row],[CDS]]=""),"Oui","Non")</f>
        <v>Non</v>
      </c>
      <c r="AB235" s="75"/>
      <c r="AC235" s="75"/>
      <c r="AD235" s="75"/>
      <c r="AE235" s="75"/>
      <c r="AF235" s="75"/>
      <c r="AG235" s="75"/>
      <c r="AH235" s="75"/>
      <c r="AI235" s="75"/>
      <c r="AJ235" s="81"/>
      <c r="AK235" s="75"/>
      <c r="AL235" s="75"/>
    </row>
    <row r="236" spans="1:38" ht="15.75" hidden="1" thickBot="1" x14ac:dyDescent="0.3">
      <c r="A236" s="75"/>
      <c r="B236" s="75"/>
      <c r="C236" s="35">
        <f>INDEX(Données!$F$2:$L$54,MATCH(F236,Données!$F$2:$F$54,0),2)</f>
        <v>44095</v>
      </c>
      <c r="D236" s="29" t="str">
        <f t="shared" si="6"/>
        <v>#2</v>
      </c>
      <c r="E236" s="7">
        <f>Données!G40</f>
        <v>44095</v>
      </c>
      <c r="F236" s="6" t="str">
        <f>INDEX(Données!$F$2:$L$54,MATCH('#2'!E236,Données!$G$2:$G$54,1),1)</f>
        <v>39</v>
      </c>
      <c r="G236" s="18" t="str">
        <f t="shared" si="7"/>
        <v>PS-2</v>
      </c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1"/>
      <c r="W236" s="75"/>
      <c r="X236" s="75"/>
      <c r="Y236" s="75"/>
      <c r="Z236" s="96">
        <f>SUM(Tableau14[[#This Row],[A-1]:[G-5]])</f>
        <v>0</v>
      </c>
      <c r="AA236" s="96" t="str">
        <f>IF(AND(Z236&gt;0,Tableau14[[#This Row],[CDS]]=""),"Oui","Non")</f>
        <v>Non</v>
      </c>
      <c r="AB236" s="75"/>
      <c r="AC236" s="75"/>
      <c r="AD236" s="75"/>
      <c r="AE236" s="75"/>
      <c r="AF236" s="75"/>
      <c r="AG236" s="75"/>
      <c r="AH236" s="75"/>
      <c r="AI236" s="75"/>
      <c r="AJ236" s="81"/>
      <c r="AK236" s="75"/>
      <c r="AL236" s="75"/>
    </row>
    <row r="237" spans="1:38" ht="15.75" hidden="1" thickBot="1" x14ac:dyDescent="0.3">
      <c r="A237" s="75"/>
      <c r="B237" s="75"/>
      <c r="C237" s="35">
        <f>INDEX(Données!$F$2:$L$54,MATCH(F237,Données!$F$2:$F$54,0),2)</f>
        <v>44095</v>
      </c>
      <c r="D237" s="29" t="str">
        <f t="shared" si="6"/>
        <v>#2</v>
      </c>
      <c r="E237" s="7">
        <f>Données!H40</f>
        <v>44096</v>
      </c>
      <c r="F237" s="6" t="str">
        <f>INDEX(Données!$F$2:$L$54,MATCH('#2'!E237,Données!$G$2:$G$54,1),1)</f>
        <v>39</v>
      </c>
      <c r="G237" s="18" t="str">
        <f t="shared" si="7"/>
        <v>PS-2</v>
      </c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1"/>
      <c r="W237" s="75"/>
      <c r="X237" s="75"/>
      <c r="Y237" s="75"/>
      <c r="Z237" s="96">
        <f>SUM(Tableau14[[#This Row],[A-1]:[G-5]])</f>
        <v>0</v>
      </c>
      <c r="AA237" s="96" t="str">
        <f>IF(AND(Z237&gt;0,Tableau14[[#This Row],[CDS]]=""),"Oui","Non")</f>
        <v>Non</v>
      </c>
      <c r="AB237" s="75"/>
      <c r="AC237" s="75"/>
      <c r="AD237" s="75"/>
      <c r="AE237" s="75"/>
      <c r="AF237" s="75"/>
      <c r="AG237" s="75"/>
      <c r="AH237" s="75"/>
      <c r="AI237" s="75"/>
      <c r="AJ237" s="81"/>
      <c r="AK237" s="75"/>
      <c r="AL237" s="75"/>
    </row>
    <row r="238" spans="1:38" ht="15.75" hidden="1" thickBot="1" x14ac:dyDescent="0.3">
      <c r="A238" s="75"/>
      <c r="B238" s="75"/>
      <c r="C238" s="35">
        <f>INDEX(Données!$F$2:$L$54,MATCH(F238,Données!$F$2:$F$54,0),2)</f>
        <v>44095</v>
      </c>
      <c r="D238" s="29" t="str">
        <f t="shared" si="6"/>
        <v>#2</v>
      </c>
      <c r="E238" s="7">
        <f>Données!I40</f>
        <v>44097</v>
      </c>
      <c r="F238" s="6" t="str">
        <f>INDEX(Données!$F$2:$L$54,MATCH('#2'!E238,Données!$G$2:$G$54,1),1)</f>
        <v>39</v>
      </c>
      <c r="G238" s="18" t="str">
        <f t="shared" si="7"/>
        <v>PS-2</v>
      </c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1"/>
      <c r="W238" s="75"/>
      <c r="X238" s="75"/>
      <c r="Y238" s="75"/>
      <c r="Z238" s="96">
        <f>SUM(Tableau14[[#This Row],[A-1]:[G-5]])</f>
        <v>0</v>
      </c>
      <c r="AA238" s="96" t="str">
        <f>IF(AND(Z238&gt;0,Tableau14[[#This Row],[CDS]]=""),"Oui","Non")</f>
        <v>Non</v>
      </c>
      <c r="AB238" s="75"/>
      <c r="AC238" s="75"/>
      <c r="AD238" s="75"/>
      <c r="AE238" s="75"/>
      <c r="AF238" s="75"/>
      <c r="AG238" s="75"/>
      <c r="AH238" s="75"/>
      <c r="AI238" s="75"/>
      <c r="AJ238" s="81"/>
      <c r="AK238" s="75"/>
      <c r="AL238" s="75"/>
    </row>
    <row r="239" spans="1:38" ht="15.75" hidden="1" thickBot="1" x14ac:dyDescent="0.3">
      <c r="A239" s="75"/>
      <c r="B239" s="75"/>
      <c r="C239" s="35">
        <f>INDEX(Données!$F$2:$L$54,MATCH(F239,Données!$F$2:$F$54,0),2)</f>
        <v>44095</v>
      </c>
      <c r="D239" s="29" t="str">
        <f t="shared" si="6"/>
        <v>#2</v>
      </c>
      <c r="E239" s="7">
        <f>Données!J40</f>
        <v>44098</v>
      </c>
      <c r="F239" s="6" t="str">
        <f>INDEX(Données!$F$2:$L$54,MATCH('#2'!E239,Données!$G$2:$G$54,1),1)</f>
        <v>39</v>
      </c>
      <c r="G239" s="18" t="str">
        <f t="shared" si="7"/>
        <v>PS-2</v>
      </c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1"/>
      <c r="W239" s="75"/>
      <c r="X239" s="75"/>
      <c r="Y239" s="75"/>
      <c r="Z239" s="96">
        <f>SUM(Tableau14[[#This Row],[A-1]:[G-5]])</f>
        <v>0</v>
      </c>
      <c r="AA239" s="96" t="str">
        <f>IF(AND(Z239&gt;0,Tableau14[[#This Row],[CDS]]=""),"Oui","Non")</f>
        <v>Non</v>
      </c>
      <c r="AB239" s="75"/>
      <c r="AC239" s="75"/>
      <c r="AD239" s="75"/>
      <c r="AE239" s="75"/>
      <c r="AF239" s="75"/>
      <c r="AG239" s="75"/>
      <c r="AH239" s="75"/>
      <c r="AI239" s="75"/>
      <c r="AJ239" s="81"/>
      <c r="AK239" s="75"/>
      <c r="AL239" s="75"/>
    </row>
    <row r="240" spans="1:38" ht="15.75" hidden="1" thickBot="1" x14ac:dyDescent="0.3">
      <c r="A240" s="75"/>
      <c r="B240" s="75"/>
      <c r="C240" s="35">
        <f>INDEX(Données!$F$2:$L$54,MATCH(F240,Données!$F$2:$F$54,0),2)</f>
        <v>44095</v>
      </c>
      <c r="D240" s="29" t="str">
        <f t="shared" si="6"/>
        <v>#2</v>
      </c>
      <c r="E240" s="7">
        <f>Données!K40</f>
        <v>44099</v>
      </c>
      <c r="F240" s="6" t="str">
        <f>INDEX(Données!$F$2:$L$54,MATCH('#2'!E240,Données!$G$2:$G$54,1),1)</f>
        <v>39</v>
      </c>
      <c r="G240" s="18" t="str">
        <f t="shared" si="7"/>
        <v>PS-2</v>
      </c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1"/>
      <c r="W240" s="75"/>
      <c r="X240" s="75"/>
      <c r="Y240" s="75"/>
      <c r="Z240" s="96">
        <f>SUM(Tableau14[[#This Row],[A-1]:[G-5]])</f>
        <v>0</v>
      </c>
      <c r="AA240" s="96" t="str">
        <f>IF(AND(Z240&gt;0,Tableau14[[#This Row],[CDS]]=""),"Oui","Non")</f>
        <v>Non</v>
      </c>
      <c r="AB240" s="75"/>
      <c r="AC240" s="75"/>
      <c r="AD240" s="75"/>
      <c r="AE240" s="75"/>
      <c r="AF240" s="75"/>
      <c r="AG240" s="75"/>
      <c r="AH240" s="75"/>
      <c r="AI240" s="75"/>
      <c r="AJ240" s="81"/>
      <c r="AK240" s="75"/>
      <c r="AL240" s="75"/>
    </row>
    <row r="241" spans="1:38" ht="15.75" hidden="1" thickBot="1" x14ac:dyDescent="0.3">
      <c r="A241" s="75"/>
      <c r="B241" s="75"/>
      <c r="C241" s="35">
        <f>INDEX(Données!$F$2:$L$54,MATCH(F241,Données!$F$2:$F$54,0),2)</f>
        <v>44095</v>
      </c>
      <c r="D241" s="29" t="str">
        <f t="shared" si="6"/>
        <v>#2</v>
      </c>
      <c r="E241" s="7">
        <f>Données!L40</f>
        <v>44100</v>
      </c>
      <c r="F241" s="6" t="str">
        <f>INDEX(Données!$F$2:$L$54,MATCH('#2'!E241,Données!$G$2:$G$54,1),1)</f>
        <v>39</v>
      </c>
      <c r="G241" s="18" t="str">
        <f t="shared" si="7"/>
        <v>PS-2</v>
      </c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1"/>
      <c r="W241" s="75"/>
      <c r="X241" s="75"/>
      <c r="Y241" s="75"/>
      <c r="Z241" s="96">
        <f>SUM(Tableau14[[#This Row],[A-1]:[G-5]])</f>
        <v>0</v>
      </c>
      <c r="AA241" s="96" t="str">
        <f>IF(AND(Z241&gt;0,Tableau14[[#This Row],[CDS]]=""),"Oui","Non")</f>
        <v>Non</v>
      </c>
      <c r="AB241" s="75"/>
      <c r="AC241" s="75"/>
      <c r="AD241" s="75"/>
      <c r="AE241" s="75"/>
      <c r="AF241" s="75"/>
      <c r="AG241" s="75"/>
      <c r="AH241" s="75"/>
      <c r="AI241" s="75"/>
      <c r="AJ241" s="81"/>
      <c r="AK241" s="75"/>
      <c r="AL241" s="75"/>
    </row>
    <row r="242" spans="1:38" ht="15.75" hidden="1" thickBot="1" x14ac:dyDescent="0.3">
      <c r="A242" s="75"/>
      <c r="B242" s="75"/>
      <c r="C242" s="35">
        <f>INDEX(Données!$F$2:$L$54,MATCH(F242,Données!$F$2:$F$54,0),2)</f>
        <v>44102</v>
      </c>
      <c r="D242" s="29" t="str">
        <f t="shared" si="6"/>
        <v>#2</v>
      </c>
      <c r="E242" s="7">
        <f>Données!G41</f>
        <v>44102</v>
      </c>
      <c r="F242" s="6" t="str">
        <f>INDEX(Données!$F$2:$L$54,MATCH('#2'!E242,Données!$G$2:$G$54,1),1)</f>
        <v>40</v>
      </c>
      <c r="G242" s="18" t="str">
        <f t="shared" si="7"/>
        <v>PS-2</v>
      </c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1"/>
      <c r="W242" s="75"/>
      <c r="X242" s="75"/>
      <c r="Y242" s="75"/>
      <c r="Z242" s="96">
        <f>SUM(Tableau14[[#This Row],[A-1]:[G-5]])</f>
        <v>0</v>
      </c>
      <c r="AA242" s="96" t="str">
        <f>IF(AND(Z242&gt;0,Tableau14[[#This Row],[CDS]]=""),"Oui","Non")</f>
        <v>Non</v>
      </c>
      <c r="AB242" s="75"/>
      <c r="AC242" s="75"/>
      <c r="AD242" s="75"/>
      <c r="AE242" s="75"/>
      <c r="AF242" s="75"/>
      <c r="AG242" s="75"/>
      <c r="AH242" s="75"/>
      <c r="AI242" s="75"/>
      <c r="AJ242" s="81"/>
      <c r="AK242" s="75"/>
      <c r="AL242" s="75"/>
    </row>
    <row r="243" spans="1:38" ht="15.75" hidden="1" thickBot="1" x14ac:dyDescent="0.3">
      <c r="A243" s="75"/>
      <c r="B243" s="75"/>
      <c r="C243" s="35">
        <f>INDEX(Données!$F$2:$L$54,MATCH(F243,Données!$F$2:$F$54,0),2)</f>
        <v>44102</v>
      </c>
      <c r="D243" s="29" t="str">
        <f t="shared" si="6"/>
        <v>#2</v>
      </c>
      <c r="E243" s="7">
        <f>Données!H41</f>
        <v>44103</v>
      </c>
      <c r="F243" s="6" t="str">
        <f>INDEX(Données!$F$2:$L$54,MATCH('#2'!E243,Données!$G$2:$G$54,1),1)</f>
        <v>40</v>
      </c>
      <c r="G243" s="18" t="str">
        <f t="shared" si="7"/>
        <v>PS-2</v>
      </c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1"/>
      <c r="W243" s="75"/>
      <c r="X243" s="75"/>
      <c r="Y243" s="75"/>
      <c r="Z243" s="96">
        <f>SUM(Tableau14[[#This Row],[A-1]:[G-5]])</f>
        <v>0</v>
      </c>
      <c r="AA243" s="96" t="str">
        <f>IF(AND(Z243&gt;0,Tableau14[[#This Row],[CDS]]=""),"Oui","Non")</f>
        <v>Non</v>
      </c>
      <c r="AB243" s="75"/>
      <c r="AC243" s="75"/>
      <c r="AD243" s="75"/>
      <c r="AE243" s="75"/>
      <c r="AF243" s="75"/>
      <c r="AG243" s="75"/>
      <c r="AH243" s="75"/>
      <c r="AI243" s="75"/>
      <c r="AJ243" s="81"/>
      <c r="AK243" s="75"/>
      <c r="AL243" s="75"/>
    </row>
    <row r="244" spans="1:38" ht="15.75" hidden="1" thickBot="1" x14ac:dyDescent="0.3">
      <c r="A244" s="75"/>
      <c r="B244" s="75"/>
      <c r="C244" s="35">
        <f>INDEX(Données!$F$2:$L$54,MATCH(F244,Données!$F$2:$F$54,0),2)</f>
        <v>44102</v>
      </c>
      <c r="D244" s="29" t="str">
        <f t="shared" si="6"/>
        <v>#2</v>
      </c>
      <c r="E244" s="7">
        <f>Données!I41</f>
        <v>44104</v>
      </c>
      <c r="F244" s="6" t="str">
        <f>INDEX(Données!$F$2:$L$54,MATCH('#2'!E244,Données!$G$2:$G$54,1),1)</f>
        <v>40</v>
      </c>
      <c r="G244" s="18" t="str">
        <f t="shared" si="7"/>
        <v>PS-2</v>
      </c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1"/>
      <c r="W244" s="75"/>
      <c r="X244" s="75"/>
      <c r="Y244" s="75"/>
      <c r="Z244" s="96">
        <f>SUM(Tableau14[[#This Row],[A-1]:[G-5]])</f>
        <v>0</v>
      </c>
      <c r="AA244" s="96" t="str">
        <f>IF(AND(Z244&gt;0,Tableau14[[#This Row],[CDS]]=""),"Oui","Non")</f>
        <v>Non</v>
      </c>
      <c r="AB244" s="75"/>
      <c r="AC244" s="75"/>
      <c r="AD244" s="75"/>
      <c r="AE244" s="75"/>
      <c r="AF244" s="75"/>
      <c r="AG244" s="75"/>
      <c r="AH244" s="75"/>
      <c r="AI244" s="75"/>
      <c r="AJ244" s="81"/>
      <c r="AK244" s="75"/>
      <c r="AL244" s="75"/>
    </row>
    <row r="245" spans="1:38" ht="15.75" hidden="1" thickBot="1" x14ac:dyDescent="0.3">
      <c r="A245" s="75"/>
      <c r="B245" s="75"/>
      <c r="C245" s="35">
        <f>INDEX(Données!$F$2:$L$54,MATCH(F245,Données!$F$2:$F$54,0),2)</f>
        <v>44102</v>
      </c>
      <c r="D245" s="29" t="str">
        <f t="shared" si="6"/>
        <v>#2</v>
      </c>
      <c r="E245" s="7">
        <f>Données!J41</f>
        <v>44105</v>
      </c>
      <c r="F245" s="6" t="str">
        <f>INDEX(Données!$F$2:$L$54,MATCH('#2'!E245,Données!$G$2:$G$54,1),1)</f>
        <v>40</v>
      </c>
      <c r="G245" s="18" t="str">
        <f t="shared" si="7"/>
        <v>PS-2</v>
      </c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1"/>
      <c r="W245" s="75"/>
      <c r="X245" s="75"/>
      <c r="Y245" s="75"/>
      <c r="Z245" s="96">
        <f>SUM(Tableau14[[#This Row],[A-1]:[G-5]])</f>
        <v>0</v>
      </c>
      <c r="AA245" s="96" t="str">
        <f>IF(AND(Z245&gt;0,Tableau14[[#This Row],[CDS]]=""),"Oui","Non")</f>
        <v>Non</v>
      </c>
      <c r="AB245" s="75"/>
      <c r="AC245" s="75"/>
      <c r="AD245" s="75"/>
      <c r="AE245" s="75"/>
      <c r="AF245" s="75"/>
      <c r="AG245" s="75"/>
      <c r="AH245" s="75"/>
      <c r="AI245" s="75"/>
      <c r="AJ245" s="81"/>
      <c r="AK245" s="75"/>
      <c r="AL245" s="75"/>
    </row>
    <row r="246" spans="1:38" ht="15.75" hidden="1" thickBot="1" x14ac:dyDescent="0.3">
      <c r="A246" s="75"/>
      <c r="B246" s="75"/>
      <c r="C246" s="35">
        <f>INDEX(Données!$F$2:$L$54,MATCH(F246,Données!$F$2:$F$54,0),2)</f>
        <v>44102</v>
      </c>
      <c r="D246" s="29" t="str">
        <f t="shared" si="6"/>
        <v>#2</v>
      </c>
      <c r="E246" s="7">
        <f>Données!K41</f>
        <v>44106</v>
      </c>
      <c r="F246" s="6" t="str">
        <f>INDEX(Données!$F$2:$L$54,MATCH('#2'!E246,Données!$G$2:$G$54,1),1)</f>
        <v>40</v>
      </c>
      <c r="G246" s="18" t="str">
        <f t="shared" si="7"/>
        <v>PS-2</v>
      </c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1"/>
      <c r="W246" s="75"/>
      <c r="X246" s="75"/>
      <c r="Y246" s="75"/>
      <c r="Z246" s="96">
        <f>SUM(Tableau14[[#This Row],[A-1]:[G-5]])</f>
        <v>0</v>
      </c>
      <c r="AA246" s="96" t="str">
        <f>IF(AND(Z246&gt;0,Tableau14[[#This Row],[CDS]]=""),"Oui","Non")</f>
        <v>Non</v>
      </c>
      <c r="AB246" s="75"/>
      <c r="AC246" s="75"/>
      <c r="AD246" s="75"/>
      <c r="AE246" s="75"/>
      <c r="AF246" s="75"/>
      <c r="AG246" s="75"/>
      <c r="AH246" s="75"/>
      <c r="AI246" s="75"/>
      <c r="AJ246" s="81"/>
      <c r="AK246" s="75"/>
      <c r="AL246" s="75"/>
    </row>
    <row r="247" spans="1:38" ht="15.75" hidden="1" thickBot="1" x14ac:dyDescent="0.3">
      <c r="A247" s="75"/>
      <c r="B247" s="75"/>
      <c r="C247" s="35">
        <f>INDEX(Données!$F$2:$L$54,MATCH(F247,Données!$F$2:$F$54,0),2)</f>
        <v>44102</v>
      </c>
      <c r="D247" s="29" t="str">
        <f t="shared" si="6"/>
        <v>#2</v>
      </c>
      <c r="E247" s="7">
        <f>Données!L41</f>
        <v>44107</v>
      </c>
      <c r="F247" s="6" t="str">
        <f>INDEX(Données!$F$2:$L$54,MATCH('#2'!E247,Données!$G$2:$G$54,1),1)</f>
        <v>40</v>
      </c>
      <c r="G247" s="18" t="str">
        <f t="shared" si="7"/>
        <v>PS-2</v>
      </c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1"/>
      <c r="W247" s="75"/>
      <c r="X247" s="75"/>
      <c r="Y247" s="75"/>
      <c r="Z247" s="96">
        <f>SUM(Tableau14[[#This Row],[A-1]:[G-5]])</f>
        <v>0</v>
      </c>
      <c r="AA247" s="96" t="str">
        <f>IF(AND(Z247&gt;0,Tableau14[[#This Row],[CDS]]=""),"Oui","Non")</f>
        <v>Non</v>
      </c>
      <c r="AB247" s="75"/>
      <c r="AC247" s="75"/>
      <c r="AD247" s="75"/>
      <c r="AE247" s="75"/>
      <c r="AF247" s="75"/>
      <c r="AG247" s="75"/>
      <c r="AH247" s="75"/>
      <c r="AI247" s="75"/>
      <c r="AJ247" s="81"/>
      <c r="AK247" s="75"/>
      <c r="AL247" s="75"/>
    </row>
    <row r="248" spans="1:38" ht="15.75" hidden="1" thickBot="1" x14ac:dyDescent="0.3">
      <c r="A248" s="75"/>
      <c r="B248" s="75"/>
      <c r="C248" s="35">
        <f>INDEX(Données!$F$2:$L$54,MATCH(F248,Données!$F$2:$F$54,0),2)</f>
        <v>44109</v>
      </c>
      <c r="D248" s="29" t="str">
        <f t="shared" si="6"/>
        <v>#2</v>
      </c>
      <c r="E248" s="7">
        <f>Données!G42</f>
        <v>44109</v>
      </c>
      <c r="F248" s="6" t="str">
        <f>INDEX(Données!$F$2:$L$54,MATCH('#2'!E248,Données!$G$2:$G$54,1),1)</f>
        <v>41</v>
      </c>
      <c r="G248" s="18" t="str">
        <f t="shared" si="7"/>
        <v>PS-2</v>
      </c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1"/>
      <c r="W248" s="75"/>
      <c r="X248" s="75"/>
      <c r="Y248" s="75"/>
      <c r="Z248" s="96">
        <f>SUM(Tableau14[[#This Row],[A-1]:[G-5]])</f>
        <v>0</v>
      </c>
      <c r="AA248" s="96" t="str">
        <f>IF(AND(Z248&gt;0,Tableau14[[#This Row],[CDS]]=""),"Oui","Non")</f>
        <v>Non</v>
      </c>
      <c r="AB248" s="75"/>
      <c r="AC248" s="75"/>
      <c r="AD248" s="75"/>
      <c r="AE248" s="75"/>
      <c r="AF248" s="75"/>
      <c r="AG248" s="75"/>
      <c r="AH248" s="75"/>
      <c r="AI248" s="75"/>
      <c r="AJ248" s="81"/>
      <c r="AK248" s="75"/>
      <c r="AL248" s="75"/>
    </row>
    <row r="249" spans="1:38" ht="15.75" hidden="1" thickBot="1" x14ac:dyDescent="0.3">
      <c r="A249" s="75"/>
      <c r="B249" s="75"/>
      <c r="C249" s="35">
        <f>INDEX(Données!$F$2:$L$54,MATCH(F249,Données!$F$2:$F$54,0),2)</f>
        <v>44109</v>
      </c>
      <c r="D249" s="29" t="str">
        <f t="shared" si="6"/>
        <v>#2</v>
      </c>
      <c r="E249" s="7">
        <f>Données!H42</f>
        <v>44110</v>
      </c>
      <c r="F249" s="6" t="str">
        <f>INDEX(Données!$F$2:$L$54,MATCH('#2'!E249,Données!$G$2:$G$54,1),1)</f>
        <v>41</v>
      </c>
      <c r="G249" s="18" t="str">
        <f t="shared" si="7"/>
        <v>PS-2</v>
      </c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1"/>
      <c r="W249" s="75"/>
      <c r="X249" s="75"/>
      <c r="Y249" s="75"/>
      <c r="Z249" s="96">
        <f>SUM(Tableau14[[#This Row],[A-1]:[G-5]])</f>
        <v>0</v>
      </c>
      <c r="AA249" s="96" t="str">
        <f>IF(AND(Z249&gt;0,Tableau14[[#This Row],[CDS]]=""),"Oui","Non")</f>
        <v>Non</v>
      </c>
      <c r="AB249" s="75"/>
      <c r="AC249" s="75"/>
      <c r="AD249" s="75"/>
      <c r="AE249" s="75"/>
      <c r="AF249" s="75"/>
      <c r="AG249" s="75"/>
      <c r="AH249" s="75"/>
      <c r="AI249" s="75"/>
      <c r="AJ249" s="81"/>
      <c r="AK249" s="75"/>
      <c r="AL249" s="75"/>
    </row>
    <row r="250" spans="1:38" ht="15.75" hidden="1" thickBot="1" x14ac:dyDescent="0.3">
      <c r="A250" s="75"/>
      <c r="B250" s="75"/>
      <c r="C250" s="35">
        <f>INDEX(Données!$F$2:$L$54,MATCH(F250,Données!$F$2:$F$54,0),2)</f>
        <v>44109</v>
      </c>
      <c r="D250" s="29" t="str">
        <f t="shared" si="6"/>
        <v>#2</v>
      </c>
      <c r="E250" s="7">
        <f>Données!I42</f>
        <v>44111</v>
      </c>
      <c r="F250" s="6" t="str">
        <f>INDEX(Données!$F$2:$L$54,MATCH('#2'!E250,Données!$G$2:$G$54,1),1)</f>
        <v>41</v>
      </c>
      <c r="G250" s="18" t="str">
        <f t="shared" si="7"/>
        <v>PS-2</v>
      </c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1"/>
      <c r="W250" s="75"/>
      <c r="X250" s="75"/>
      <c r="Y250" s="75"/>
      <c r="Z250" s="96">
        <f>SUM(Tableau14[[#This Row],[A-1]:[G-5]])</f>
        <v>0</v>
      </c>
      <c r="AA250" s="96" t="str">
        <f>IF(AND(Z250&gt;0,Tableau14[[#This Row],[CDS]]=""),"Oui","Non")</f>
        <v>Non</v>
      </c>
      <c r="AB250" s="75"/>
      <c r="AC250" s="75"/>
      <c r="AD250" s="75"/>
      <c r="AE250" s="75"/>
      <c r="AF250" s="75"/>
      <c r="AG250" s="75"/>
      <c r="AH250" s="75"/>
      <c r="AI250" s="75"/>
      <c r="AJ250" s="81"/>
      <c r="AK250" s="75"/>
      <c r="AL250" s="75"/>
    </row>
    <row r="251" spans="1:38" ht="15.75" hidden="1" thickBot="1" x14ac:dyDescent="0.3">
      <c r="A251" s="75"/>
      <c r="B251" s="75"/>
      <c r="C251" s="35">
        <f>INDEX(Données!$F$2:$L$54,MATCH(F251,Données!$F$2:$F$54,0),2)</f>
        <v>44109</v>
      </c>
      <c r="D251" s="29" t="str">
        <f t="shared" si="6"/>
        <v>#2</v>
      </c>
      <c r="E251" s="7">
        <f>Données!J42</f>
        <v>44112</v>
      </c>
      <c r="F251" s="6" t="str">
        <f>INDEX(Données!$F$2:$L$54,MATCH('#2'!E251,Données!$G$2:$G$54,1),1)</f>
        <v>41</v>
      </c>
      <c r="G251" s="18" t="str">
        <f t="shared" si="7"/>
        <v>PS-2</v>
      </c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1"/>
      <c r="W251" s="75"/>
      <c r="X251" s="75"/>
      <c r="Y251" s="75"/>
      <c r="Z251" s="96">
        <f>SUM(Tableau14[[#This Row],[A-1]:[G-5]])</f>
        <v>0</v>
      </c>
      <c r="AA251" s="96" t="str">
        <f>IF(AND(Z251&gt;0,Tableau14[[#This Row],[CDS]]=""),"Oui","Non")</f>
        <v>Non</v>
      </c>
      <c r="AB251" s="75"/>
      <c r="AC251" s="75"/>
      <c r="AD251" s="75"/>
      <c r="AE251" s="75"/>
      <c r="AF251" s="75"/>
      <c r="AG251" s="75"/>
      <c r="AH251" s="75"/>
      <c r="AI251" s="75"/>
      <c r="AJ251" s="81"/>
      <c r="AK251" s="75"/>
      <c r="AL251" s="75"/>
    </row>
    <row r="252" spans="1:38" ht="15.75" hidden="1" thickBot="1" x14ac:dyDescent="0.3">
      <c r="A252" s="75"/>
      <c r="B252" s="75"/>
      <c r="C252" s="35">
        <f>INDEX(Données!$F$2:$L$54,MATCH(F252,Données!$F$2:$F$54,0),2)</f>
        <v>44109</v>
      </c>
      <c r="D252" s="29" t="str">
        <f t="shared" si="6"/>
        <v>#2</v>
      </c>
      <c r="E252" s="7">
        <f>Données!K42</f>
        <v>44113</v>
      </c>
      <c r="F252" s="6" t="str">
        <f>INDEX(Données!$F$2:$L$54,MATCH('#2'!E252,Données!$G$2:$G$54,1),1)</f>
        <v>41</v>
      </c>
      <c r="G252" s="18" t="str">
        <f t="shared" si="7"/>
        <v>PS-2</v>
      </c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1"/>
      <c r="W252" s="75"/>
      <c r="X252" s="75"/>
      <c r="Y252" s="75"/>
      <c r="Z252" s="96">
        <f>SUM(Tableau14[[#This Row],[A-1]:[G-5]])</f>
        <v>0</v>
      </c>
      <c r="AA252" s="96" t="str">
        <f>IF(AND(Z252&gt;0,Tableau14[[#This Row],[CDS]]=""),"Oui","Non")</f>
        <v>Non</v>
      </c>
      <c r="AB252" s="75"/>
      <c r="AC252" s="75"/>
      <c r="AD252" s="75"/>
      <c r="AE252" s="75"/>
      <c r="AF252" s="75"/>
      <c r="AG252" s="75"/>
      <c r="AH252" s="75"/>
      <c r="AI252" s="75"/>
      <c r="AJ252" s="81"/>
      <c r="AK252" s="75"/>
      <c r="AL252" s="75"/>
    </row>
    <row r="253" spans="1:38" ht="15.75" hidden="1" thickBot="1" x14ac:dyDescent="0.3">
      <c r="A253" s="75"/>
      <c r="B253" s="75"/>
      <c r="C253" s="35">
        <f>INDEX(Données!$F$2:$L$54,MATCH(F253,Données!$F$2:$F$54,0),2)</f>
        <v>44109</v>
      </c>
      <c r="D253" s="29" t="str">
        <f t="shared" si="6"/>
        <v>#2</v>
      </c>
      <c r="E253" s="7">
        <f>Données!L42</f>
        <v>44114</v>
      </c>
      <c r="F253" s="6" t="str">
        <f>INDEX(Données!$F$2:$L$54,MATCH('#2'!E253,Données!$G$2:$G$54,1),1)</f>
        <v>41</v>
      </c>
      <c r="G253" s="18" t="str">
        <f t="shared" si="7"/>
        <v>PS-2</v>
      </c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1"/>
      <c r="W253" s="75"/>
      <c r="X253" s="75"/>
      <c r="Y253" s="75"/>
      <c r="Z253" s="96">
        <f>SUM(Tableau14[[#This Row],[A-1]:[G-5]])</f>
        <v>0</v>
      </c>
      <c r="AA253" s="96" t="str">
        <f>IF(AND(Z253&gt;0,Tableau14[[#This Row],[CDS]]=""),"Oui","Non")</f>
        <v>Non</v>
      </c>
      <c r="AB253" s="75"/>
      <c r="AC253" s="75"/>
      <c r="AD253" s="75"/>
      <c r="AE253" s="75"/>
      <c r="AF253" s="75"/>
      <c r="AG253" s="75"/>
      <c r="AH253" s="75"/>
      <c r="AI253" s="75"/>
      <c r="AJ253" s="81"/>
      <c r="AK253" s="75"/>
      <c r="AL253" s="75"/>
    </row>
    <row r="254" spans="1:38" ht="15.75" hidden="1" thickBot="1" x14ac:dyDescent="0.3">
      <c r="A254" s="75"/>
      <c r="B254" s="75"/>
      <c r="C254" s="35">
        <f>INDEX(Données!$F$2:$L$54,MATCH(F254,Données!$F$2:$F$54,0),2)</f>
        <v>44116</v>
      </c>
      <c r="D254" s="29" t="str">
        <f t="shared" si="6"/>
        <v>#2</v>
      </c>
      <c r="E254" s="7">
        <f>Données!G43</f>
        <v>44116</v>
      </c>
      <c r="F254" s="6" t="str">
        <f>INDEX(Données!$F$2:$L$54,MATCH('#2'!E254,Données!$G$2:$G$54,1),1)</f>
        <v>42</v>
      </c>
      <c r="G254" s="18" t="str">
        <f t="shared" si="7"/>
        <v>PS-2</v>
      </c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1"/>
      <c r="W254" s="75"/>
      <c r="X254" s="75"/>
      <c r="Y254" s="75"/>
      <c r="Z254" s="96">
        <f>SUM(Tableau14[[#This Row],[A-1]:[G-5]])</f>
        <v>0</v>
      </c>
      <c r="AA254" s="96" t="str">
        <f>IF(AND(Z254&gt;0,Tableau14[[#This Row],[CDS]]=""),"Oui","Non")</f>
        <v>Non</v>
      </c>
      <c r="AB254" s="75"/>
      <c r="AC254" s="75"/>
      <c r="AD254" s="75"/>
      <c r="AE254" s="75"/>
      <c r="AF254" s="75"/>
      <c r="AG254" s="75"/>
      <c r="AH254" s="75"/>
      <c r="AI254" s="75"/>
      <c r="AJ254" s="81"/>
      <c r="AK254" s="75"/>
      <c r="AL254" s="75"/>
    </row>
    <row r="255" spans="1:38" ht="15.75" hidden="1" thickBot="1" x14ac:dyDescent="0.3">
      <c r="A255" s="75"/>
      <c r="B255" s="75"/>
      <c r="C255" s="35">
        <f>INDEX(Données!$F$2:$L$54,MATCH(F255,Données!$F$2:$F$54,0),2)</f>
        <v>44116</v>
      </c>
      <c r="D255" s="29" t="str">
        <f t="shared" si="6"/>
        <v>#2</v>
      </c>
      <c r="E255" s="7">
        <f>Données!H43</f>
        <v>44117</v>
      </c>
      <c r="F255" s="6" t="str">
        <f>INDEX(Données!$F$2:$L$54,MATCH('#2'!E255,Données!$G$2:$G$54,1),1)</f>
        <v>42</v>
      </c>
      <c r="G255" s="18" t="str">
        <f t="shared" si="7"/>
        <v>PS-2</v>
      </c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1"/>
      <c r="W255" s="75"/>
      <c r="X255" s="75"/>
      <c r="Y255" s="75"/>
      <c r="Z255" s="96">
        <f>SUM(Tableau14[[#This Row],[A-1]:[G-5]])</f>
        <v>0</v>
      </c>
      <c r="AA255" s="96" t="str">
        <f>IF(AND(Z255&gt;0,Tableau14[[#This Row],[CDS]]=""),"Oui","Non")</f>
        <v>Non</v>
      </c>
      <c r="AB255" s="75"/>
      <c r="AC255" s="75"/>
      <c r="AD255" s="75"/>
      <c r="AE255" s="75"/>
      <c r="AF255" s="75"/>
      <c r="AG255" s="75"/>
      <c r="AH255" s="75"/>
      <c r="AI255" s="75"/>
      <c r="AJ255" s="81"/>
      <c r="AK255" s="75"/>
      <c r="AL255" s="75"/>
    </row>
    <row r="256" spans="1:38" ht="15.75" hidden="1" thickBot="1" x14ac:dyDescent="0.3">
      <c r="A256" s="75"/>
      <c r="B256" s="75"/>
      <c r="C256" s="35">
        <f>INDEX(Données!$F$2:$L$54,MATCH(F256,Données!$F$2:$F$54,0),2)</f>
        <v>44116</v>
      </c>
      <c r="D256" s="29" t="str">
        <f t="shared" si="6"/>
        <v>#2</v>
      </c>
      <c r="E256" s="7">
        <f>Données!I43</f>
        <v>44118</v>
      </c>
      <c r="F256" s="6" t="str">
        <f>INDEX(Données!$F$2:$L$54,MATCH('#2'!E256,Données!$G$2:$G$54,1),1)</f>
        <v>42</v>
      </c>
      <c r="G256" s="18" t="str">
        <f t="shared" si="7"/>
        <v>PS-2</v>
      </c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1"/>
      <c r="W256" s="75"/>
      <c r="X256" s="75"/>
      <c r="Y256" s="75"/>
      <c r="Z256" s="96">
        <f>SUM(Tableau14[[#This Row],[A-1]:[G-5]])</f>
        <v>0</v>
      </c>
      <c r="AA256" s="96" t="str">
        <f>IF(AND(Z256&gt;0,Tableau14[[#This Row],[CDS]]=""),"Oui","Non")</f>
        <v>Non</v>
      </c>
      <c r="AB256" s="75"/>
      <c r="AC256" s="75"/>
      <c r="AD256" s="75"/>
      <c r="AE256" s="75"/>
      <c r="AF256" s="75"/>
      <c r="AG256" s="75"/>
      <c r="AH256" s="75"/>
      <c r="AI256" s="75"/>
      <c r="AJ256" s="81"/>
      <c r="AK256" s="75"/>
      <c r="AL256" s="75"/>
    </row>
    <row r="257" spans="1:38" ht="15.75" hidden="1" thickBot="1" x14ac:dyDescent="0.3">
      <c r="A257" s="75"/>
      <c r="B257" s="75"/>
      <c r="C257" s="35">
        <f>INDEX(Données!$F$2:$L$54,MATCH(F257,Données!$F$2:$F$54,0),2)</f>
        <v>44116</v>
      </c>
      <c r="D257" s="29" t="str">
        <f t="shared" si="6"/>
        <v>#2</v>
      </c>
      <c r="E257" s="7">
        <f>Données!J43</f>
        <v>44119</v>
      </c>
      <c r="F257" s="6" t="str">
        <f>INDEX(Données!$F$2:$L$54,MATCH('#2'!E257,Données!$G$2:$G$54,1),1)</f>
        <v>42</v>
      </c>
      <c r="G257" s="18" t="str">
        <f t="shared" si="7"/>
        <v>PS-2</v>
      </c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1"/>
      <c r="W257" s="75"/>
      <c r="X257" s="75"/>
      <c r="Y257" s="75"/>
      <c r="Z257" s="96">
        <f>SUM(Tableau14[[#This Row],[A-1]:[G-5]])</f>
        <v>0</v>
      </c>
      <c r="AA257" s="96" t="str">
        <f>IF(AND(Z257&gt;0,Tableau14[[#This Row],[CDS]]=""),"Oui","Non")</f>
        <v>Non</v>
      </c>
      <c r="AB257" s="75"/>
      <c r="AC257" s="75"/>
      <c r="AD257" s="75"/>
      <c r="AE257" s="75"/>
      <c r="AF257" s="75"/>
      <c r="AG257" s="75"/>
      <c r="AH257" s="75"/>
      <c r="AI257" s="75"/>
      <c r="AJ257" s="81"/>
      <c r="AK257" s="75"/>
      <c r="AL257" s="75"/>
    </row>
    <row r="258" spans="1:38" ht="15.75" hidden="1" thickBot="1" x14ac:dyDescent="0.3">
      <c r="A258" s="75"/>
      <c r="B258" s="75"/>
      <c r="C258" s="35">
        <f>INDEX(Données!$F$2:$L$54,MATCH(F258,Données!$F$2:$F$54,0),2)</f>
        <v>44116</v>
      </c>
      <c r="D258" s="29" t="str">
        <f t="shared" si="6"/>
        <v>#2</v>
      </c>
      <c r="E258" s="7">
        <f>Données!K43</f>
        <v>44120</v>
      </c>
      <c r="F258" s="6" t="str">
        <f>INDEX(Données!$F$2:$L$54,MATCH('#2'!E258,Données!$G$2:$G$54,1),1)</f>
        <v>42</v>
      </c>
      <c r="G258" s="18" t="str">
        <f t="shared" si="7"/>
        <v>PS-2</v>
      </c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1"/>
      <c r="W258" s="75"/>
      <c r="X258" s="75"/>
      <c r="Y258" s="75"/>
      <c r="Z258" s="96">
        <f>SUM(Tableau14[[#This Row],[A-1]:[G-5]])</f>
        <v>0</v>
      </c>
      <c r="AA258" s="96" t="str">
        <f>IF(AND(Z258&gt;0,Tableau14[[#This Row],[CDS]]=""),"Oui","Non")</f>
        <v>Non</v>
      </c>
      <c r="AB258" s="75"/>
      <c r="AC258" s="75"/>
      <c r="AD258" s="75"/>
      <c r="AE258" s="75"/>
      <c r="AF258" s="75"/>
      <c r="AG258" s="75"/>
      <c r="AH258" s="75"/>
      <c r="AI258" s="75"/>
      <c r="AJ258" s="81"/>
      <c r="AK258" s="75"/>
      <c r="AL258" s="75"/>
    </row>
    <row r="259" spans="1:38" ht="15.75" hidden="1" thickBot="1" x14ac:dyDescent="0.3">
      <c r="A259" s="75"/>
      <c r="B259" s="75"/>
      <c r="C259" s="35">
        <f>INDEX(Données!$F$2:$L$54,MATCH(F259,Données!$F$2:$F$54,0),2)</f>
        <v>44116</v>
      </c>
      <c r="D259" s="29" t="str">
        <f t="shared" si="6"/>
        <v>#2</v>
      </c>
      <c r="E259" s="7">
        <f>Données!L43</f>
        <v>44121</v>
      </c>
      <c r="F259" s="6" t="str">
        <f>INDEX(Données!$F$2:$L$54,MATCH('#2'!E259,Données!$G$2:$G$54,1),1)</f>
        <v>42</v>
      </c>
      <c r="G259" s="18" t="str">
        <f t="shared" si="7"/>
        <v>PS-2</v>
      </c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1"/>
      <c r="W259" s="75"/>
      <c r="X259" s="75"/>
      <c r="Y259" s="75"/>
      <c r="Z259" s="96">
        <f>SUM(Tableau14[[#This Row],[A-1]:[G-5]])</f>
        <v>0</v>
      </c>
      <c r="AA259" s="96" t="str">
        <f>IF(AND(Z259&gt;0,Tableau14[[#This Row],[CDS]]=""),"Oui","Non")</f>
        <v>Non</v>
      </c>
      <c r="AB259" s="75"/>
      <c r="AC259" s="75"/>
      <c r="AD259" s="75"/>
      <c r="AE259" s="75"/>
      <c r="AF259" s="75"/>
      <c r="AG259" s="75"/>
      <c r="AH259" s="75"/>
      <c r="AI259" s="75"/>
      <c r="AJ259" s="81"/>
      <c r="AK259" s="75"/>
      <c r="AL259" s="75"/>
    </row>
    <row r="260" spans="1:38" ht="15.75" hidden="1" thickBot="1" x14ac:dyDescent="0.3">
      <c r="A260" s="75"/>
      <c r="B260" s="75"/>
      <c r="C260" s="35">
        <f>INDEX(Données!$F$2:$L$54,MATCH(F260,Données!$F$2:$F$54,0),2)</f>
        <v>44123</v>
      </c>
      <c r="D260" s="29" t="str">
        <f t="shared" si="6"/>
        <v>#2</v>
      </c>
      <c r="E260" s="7">
        <f>Données!G44</f>
        <v>44123</v>
      </c>
      <c r="F260" s="6" t="str">
        <f>INDEX(Données!$F$2:$L$54,MATCH('#2'!E260,Données!$G$2:$G$54,1),1)</f>
        <v>43</v>
      </c>
      <c r="G260" s="18" t="str">
        <f t="shared" si="7"/>
        <v>PS-2</v>
      </c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1"/>
      <c r="W260" s="75"/>
      <c r="X260" s="75"/>
      <c r="Y260" s="75"/>
      <c r="Z260" s="96">
        <f>SUM(Tableau14[[#This Row],[A-1]:[G-5]])</f>
        <v>0</v>
      </c>
      <c r="AA260" s="96" t="str">
        <f>IF(AND(Z260&gt;0,Tableau14[[#This Row],[CDS]]=""),"Oui","Non")</f>
        <v>Non</v>
      </c>
      <c r="AB260" s="75"/>
      <c r="AC260" s="75"/>
      <c r="AD260" s="75"/>
      <c r="AE260" s="75"/>
      <c r="AF260" s="75"/>
      <c r="AG260" s="75"/>
      <c r="AH260" s="75"/>
      <c r="AI260" s="75"/>
      <c r="AJ260" s="81"/>
      <c r="AK260" s="75"/>
      <c r="AL260" s="75"/>
    </row>
    <row r="261" spans="1:38" ht="15.75" hidden="1" thickBot="1" x14ac:dyDescent="0.3">
      <c r="A261" s="75"/>
      <c r="B261" s="75"/>
      <c r="C261" s="35">
        <f>INDEX(Données!$F$2:$L$54,MATCH(F261,Données!$F$2:$F$54,0),2)</f>
        <v>44123</v>
      </c>
      <c r="D261" s="29" t="str">
        <f t="shared" si="6"/>
        <v>#2</v>
      </c>
      <c r="E261" s="7">
        <f>Données!H44</f>
        <v>44124</v>
      </c>
      <c r="F261" s="6" t="str">
        <f>INDEX(Données!$F$2:$L$54,MATCH('#2'!E261,Données!$G$2:$G$54,1),1)</f>
        <v>43</v>
      </c>
      <c r="G261" s="18" t="str">
        <f t="shared" si="7"/>
        <v>PS-2</v>
      </c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1"/>
      <c r="W261" s="75"/>
      <c r="X261" s="75"/>
      <c r="Y261" s="75"/>
      <c r="Z261" s="96">
        <f>SUM(Tableau14[[#This Row],[A-1]:[G-5]])</f>
        <v>0</v>
      </c>
      <c r="AA261" s="96" t="str">
        <f>IF(AND(Z261&gt;0,Tableau14[[#This Row],[CDS]]=""),"Oui","Non")</f>
        <v>Non</v>
      </c>
      <c r="AB261" s="75"/>
      <c r="AC261" s="75"/>
      <c r="AD261" s="75"/>
      <c r="AE261" s="75"/>
      <c r="AF261" s="75"/>
      <c r="AG261" s="75"/>
      <c r="AH261" s="75"/>
      <c r="AI261" s="75"/>
      <c r="AJ261" s="81"/>
      <c r="AK261" s="75"/>
      <c r="AL261" s="75"/>
    </row>
    <row r="262" spans="1:38" ht="15.75" hidden="1" thickBot="1" x14ac:dyDescent="0.3">
      <c r="A262" s="75"/>
      <c r="B262" s="75"/>
      <c r="C262" s="35">
        <f>INDEX(Données!$F$2:$L$54,MATCH(F262,Données!$F$2:$F$54,0),2)</f>
        <v>44123</v>
      </c>
      <c r="D262" s="29" t="str">
        <f t="shared" si="6"/>
        <v>#2</v>
      </c>
      <c r="E262" s="7">
        <f>Données!I44</f>
        <v>44125</v>
      </c>
      <c r="F262" s="6" t="str">
        <f>INDEX(Données!$F$2:$L$54,MATCH('#2'!E262,Données!$G$2:$G$54,1),1)</f>
        <v>43</v>
      </c>
      <c r="G262" s="18" t="str">
        <f t="shared" si="7"/>
        <v>PS-2</v>
      </c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1"/>
      <c r="W262" s="75"/>
      <c r="X262" s="75"/>
      <c r="Y262" s="75"/>
      <c r="Z262" s="96">
        <f>SUM(Tableau14[[#This Row],[A-1]:[G-5]])</f>
        <v>0</v>
      </c>
      <c r="AA262" s="96" t="str">
        <f>IF(AND(Z262&gt;0,Tableau14[[#This Row],[CDS]]=""),"Oui","Non")</f>
        <v>Non</v>
      </c>
      <c r="AB262" s="75"/>
      <c r="AC262" s="75"/>
      <c r="AD262" s="75"/>
      <c r="AE262" s="75"/>
      <c r="AF262" s="75"/>
      <c r="AG262" s="75"/>
      <c r="AH262" s="75"/>
      <c r="AI262" s="75"/>
      <c r="AJ262" s="81"/>
      <c r="AK262" s="75"/>
      <c r="AL262" s="75"/>
    </row>
    <row r="263" spans="1:38" ht="15.75" hidden="1" thickBot="1" x14ac:dyDescent="0.3">
      <c r="A263" s="75"/>
      <c r="B263" s="75"/>
      <c r="C263" s="35">
        <f>INDEX(Données!$F$2:$L$54,MATCH(F263,Données!$F$2:$F$54,0),2)</f>
        <v>44123</v>
      </c>
      <c r="D263" s="29" t="str">
        <f t="shared" si="6"/>
        <v>#2</v>
      </c>
      <c r="E263" s="7">
        <f>Données!J44</f>
        <v>44126</v>
      </c>
      <c r="F263" s="6" t="str">
        <f>INDEX(Données!$F$2:$L$54,MATCH('#2'!E263,Données!$G$2:$G$54,1),1)</f>
        <v>43</v>
      </c>
      <c r="G263" s="18" t="str">
        <f t="shared" si="7"/>
        <v>PS-2</v>
      </c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1"/>
      <c r="W263" s="75"/>
      <c r="X263" s="75"/>
      <c r="Y263" s="75"/>
      <c r="Z263" s="96">
        <f>SUM(Tableau14[[#This Row],[A-1]:[G-5]])</f>
        <v>0</v>
      </c>
      <c r="AA263" s="96" t="str">
        <f>IF(AND(Z263&gt;0,Tableau14[[#This Row],[CDS]]=""),"Oui","Non")</f>
        <v>Non</v>
      </c>
      <c r="AB263" s="75"/>
      <c r="AC263" s="75"/>
      <c r="AD263" s="75"/>
      <c r="AE263" s="75"/>
      <c r="AF263" s="75"/>
      <c r="AG263" s="75"/>
      <c r="AH263" s="75"/>
      <c r="AI263" s="75"/>
      <c r="AJ263" s="81"/>
      <c r="AK263" s="75"/>
      <c r="AL263" s="75"/>
    </row>
    <row r="264" spans="1:38" ht="15.75" hidden="1" thickBot="1" x14ac:dyDescent="0.3">
      <c r="A264" s="75"/>
      <c r="B264" s="75"/>
      <c r="C264" s="35">
        <f>INDEX(Données!$F$2:$L$54,MATCH(F264,Données!$F$2:$F$54,0),2)</f>
        <v>44123</v>
      </c>
      <c r="D264" s="29" t="str">
        <f t="shared" ref="D264:D325" si="8">$E$4</f>
        <v>#2</v>
      </c>
      <c r="E264" s="7">
        <f>Données!K44</f>
        <v>44127</v>
      </c>
      <c r="F264" s="6" t="str">
        <f>INDEX(Données!$F$2:$L$54,MATCH('#2'!E264,Données!$G$2:$G$54,1),1)</f>
        <v>43</v>
      </c>
      <c r="G264" s="18" t="str">
        <f t="shared" ref="G264:G325" si="9">IF(AND($V$5=1),"PS-1",IF(AND($V$5=2),"PS-2",IF(AND($V$5=4),"PS-4",IF(AND($V$5=6),"S.O.",IF(AND($V$5=5),"")))))</f>
        <v>PS-2</v>
      </c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1"/>
      <c r="W264" s="75"/>
      <c r="X264" s="75"/>
      <c r="Y264" s="75"/>
      <c r="Z264" s="96">
        <f>SUM(Tableau14[[#This Row],[A-1]:[G-5]])</f>
        <v>0</v>
      </c>
      <c r="AA264" s="96" t="str">
        <f>IF(AND(Z264&gt;0,Tableau14[[#This Row],[CDS]]=""),"Oui","Non")</f>
        <v>Non</v>
      </c>
      <c r="AB264" s="75"/>
      <c r="AC264" s="75"/>
      <c r="AD264" s="75"/>
      <c r="AE264" s="75"/>
      <c r="AF264" s="75"/>
      <c r="AG264" s="75"/>
      <c r="AH264" s="75"/>
      <c r="AI264" s="75"/>
      <c r="AJ264" s="81"/>
      <c r="AK264" s="75"/>
      <c r="AL264" s="75"/>
    </row>
    <row r="265" spans="1:38" ht="15.75" hidden="1" thickBot="1" x14ac:dyDescent="0.3">
      <c r="A265" s="75"/>
      <c r="B265" s="75"/>
      <c r="C265" s="35">
        <f>INDEX(Données!$F$2:$L$54,MATCH(F265,Données!$F$2:$F$54,0),2)</f>
        <v>44123</v>
      </c>
      <c r="D265" s="29" t="str">
        <f t="shared" si="8"/>
        <v>#2</v>
      </c>
      <c r="E265" s="7">
        <f>Données!L44</f>
        <v>44128</v>
      </c>
      <c r="F265" s="6" t="str">
        <f>INDEX(Données!$F$2:$L$54,MATCH('#2'!E265,Données!$G$2:$G$54,1),1)</f>
        <v>43</v>
      </c>
      <c r="G265" s="18" t="str">
        <f t="shared" si="9"/>
        <v>PS-2</v>
      </c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1"/>
      <c r="W265" s="75"/>
      <c r="X265" s="75"/>
      <c r="Y265" s="75"/>
      <c r="Z265" s="96">
        <f>SUM(Tableau14[[#This Row],[A-1]:[G-5]])</f>
        <v>0</v>
      </c>
      <c r="AA265" s="96" t="str">
        <f>IF(AND(Z265&gt;0,Tableau14[[#This Row],[CDS]]=""),"Oui","Non")</f>
        <v>Non</v>
      </c>
      <c r="AB265" s="75"/>
      <c r="AC265" s="75"/>
      <c r="AD265" s="75"/>
      <c r="AE265" s="75"/>
      <c r="AF265" s="75"/>
      <c r="AG265" s="75"/>
      <c r="AH265" s="75"/>
      <c r="AI265" s="75"/>
      <c r="AJ265" s="81"/>
      <c r="AK265" s="75"/>
      <c r="AL265" s="75"/>
    </row>
    <row r="266" spans="1:38" ht="15.75" hidden="1" thickBot="1" x14ac:dyDescent="0.3">
      <c r="A266" s="75"/>
      <c r="B266" s="75"/>
      <c r="C266" s="35">
        <f>INDEX(Données!$F$2:$L$54,MATCH(F266,Données!$F$2:$F$54,0),2)</f>
        <v>44130</v>
      </c>
      <c r="D266" s="29" t="str">
        <f t="shared" si="8"/>
        <v>#2</v>
      </c>
      <c r="E266" s="7">
        <f>Données!G45</f>
        <v>44130</v>
      </c>
      <c r="F266" s="6" t="str">
        <f>INDEX(Données!$F$2:$L$54,MATCH('#2'!E266,Données!$G$2:$G$54,1),1)</f>
        <v>44</v>
      </c>
      <c r="G266" s="18" t="str">
        <f t="shared" si="9"/>
        <v>PS-2</v>
      </c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1"/>
      <c r="W266" s="75"/>
      <c r="X266" s="75"/>
      <c r="Y266" s="75"/>
      <c r="Z266" s="96">
        <f>SUM(Tableau14[[#This Row],[A-1]:[G-5]])</f>
        <v>0</v>
      </c>
      <c r="AA266" s="96" t="str">
        <f>IF(AND(Z266&gt;0,Tableau14[[#This Row],[CDS]]=""),"Oui","Non")</f>
        <v>Non</v>
      </c>
      <c r="AB266" s="75"/>
      <c r="AC266" s="75"/>
      <c r="AD266" s="75"/>
      <c r="AE266" s="75"/>
      <c r="AF266" s="75"/>
      <c r="AG266" s="75"/>
      <c r="AH266" s="75"/>
      <c r="AI266" s="75"/>
      <c r="AJ266" s="81"/>
      <c r="AK266" s="75"/>
      <c r="AL266" s="75"/>
    </row>
    <row r="267" spans="1:38" ht="15.75" hidden="1" thickBot="1" x14ac:dyDescent="0.3">
      <c r="A267" s="75"/>
      <c r="B267" s="75"/>
      <c r="C267" s="35">
        <f>INDEX(Données!$F$2:$L$54,MATCH(F267,Données!$F$2:$F$54,0),2)</f>
        <v>44130</v>
      </c>
      <c r="D267" s="29" t="str">
        <f t="shared" si="8"/>
        <v>#2</v>
      </c>
      <c r="E267" s="7">
        <f>Données!H45</f>
        <v>44131</v>
      </c>
      <c r="F267" s="6" t="str">
        <f>INDEX(Données!$F$2:$L$54,MATCH('#2'!E267,Données!$G$2:$G$54,1),1)</f>
        <v>44</v>
      </c>
      <c r="G267" s="18" t="str">
        <f t="shared" si="9"/>
        <v>PS-2</v>
      </c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1"/>
      <c r="W267" s="75"/>
      <c r="X267" s="75"/>
      <c r="Y267" s="75"/>
      <c r="Z267" s="96">
        <f>SUM(Tableau14[[#This Row],[A-1]:[G-5]])</f>
        <v>0</v>
      </c>
      <c r="AA267" s="96" t="str">
        <f>IF(AND(Z267&gt;0,Tableau14[[#This Row],[CDS]]=""),"Oui","Non")</f>
        <v>Non</v>
      </c>
      <c r="AB267" s="75"/>
      <c r="AC267" s="75"/>
      <c r="AD267" s="75"/>
      <c r="AE267" s="75"/>
      <c r="AF267" s="75"/>
      <c r="AG267" s="75"/>
      <c r="AH267" s="75"/>
      <c r="AI267" s="75"/>
      <c r="AJ267" s="81"/>
      <c r="AK267" s="75"/>
      <c r="AL267" s="75"/>
    </row>
    <row r="268" spans="1:38" ht="15.75" hidden="1" thickBot="1" x14ac:dyDescent="0.3">
      <c r="A268" s="75"/>
      <c r="B268" s="75"/>
      <c r="C268" s="35">
        <f>INDEX(Données!$F$2:$L$54,MATCH(F268,Données!$F$2:$F$54,0),2)</f>
        <v>44130</v>
      </c>
      <c r="D268" s="29" t="str">
        <f t="shared" si="8"/>
        <v>#2</v>
      </c>
      <c r="E268" s="7">
        <f>Données!I45</f>
        <v>44132</v>
      </c>
      <c r="F268" s="6" t="str">
        <f>INDEX(Données!$F$2:$L$54,MATCH('#2'!E268,Données!$G$2:$G$54,1),1)</f>
        <v>44</v>
      </c>
      <c r="G268" s="18" t="str">
        <f t="shared" si="9"/>
        <v>PS-2</v>
      </c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1"/>
      <c r="W268" s="75"/>
      <c r="X268" s="75"/>
      <c r="Y268" s="75"/>
      <c r="Z268" s="96">
        <f>SUM(Tableau14[[#This Row],[A-1]:[G-5]])</f>
        <v>0</v>
      </c>
      <c r="AA268" s="96" t="str">
        <f>IF(AND(Z268&gt;0,Tableau14[[#This Row],[CDS]]=""),"Oui","Non")</f>
        <v>Non</v>
      </c>
      <c r="AB268" s="75"/>
      <c r="AC268" s="75"/>
      <c r="AD268" s="75"/>
      <c r="AE268" s="75"/>
      <c r="AF268" s="75"/>
      <c r="AG268" s="75"/>
      <c r="AH268" s="75"/>
      <c r="AI268" s="75"/>
      <c r="AJ268" s="81"/>
      <c r="AK268" s="75"/>
      <c r="AL268" s="75"/>
    </row>
    <row r="269" spans="1:38" ht="15.75" hidden="1" thickBot="1" x14ac:dyDescent="0.3">
      <c r="A269" s="75"/>
      <c r="B269" s="75"/>
      <c r="C269" s="35">
        <f>INDEX(Données!$F$2:$L$54,MATCH(F269,Données!$F$2:$F$54,0),2)</f>
        <v>44130</v>
      </c>
      <c r="D269" s="29" t="str">
        <f t="shared" si="8"/>
        <v>#2</v>
      </c>
      <c r="E269" s="7">
        <f>Données!J45</f>
        <v>44133</v>
      </c>
      <c r="F269" s="6" t="str">
        <f>INDEX(Données!$F$2:$L$54,MATCH('#2'!E269,Données!$G$2:$G$54,1),1)</f>
        <v>44</v>
      </c>
      <c r="G269" s="18" t="str">
        <f t="shared" si="9"/>
        <v>PS-2</v>
      </c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1"/>
      <c r="W269" s="75"/>
      <c r="X269" s="75"/>
      <c r="Y269" s="75"/>
      <c r="Z269" s="96">
        <f>SUM(Tableau14[[#This Row],[A-1]:[G-5]])</f>
        <v>0</v>
      </c>
      <c r="AA269" s="96" t="str">
        <f>IF(AND(Z269&gt;0,Tableau14[[#This Row],[CDS]]=""),"Oui","Non")</f>
        <v>Non</v>
      </c>
      <c r="AB269" s="75"/>
      <c r="AC269" s="75"/>
      <c r="AD269" s="75"/>
      <c r="AE269" s="75"/>
      <c r="AF269" s="75"/>
      <c r="AG269" s="75"/>
      <c r="AH269" s="75"/>
      <c r="AI269" s="75"/>
      <c r="AJ269" s="81"/>
      <c r="AK269" s="75"/>
      <c r="AL269" s="75"/>
    </row>
    <row r="270" spans="1:38" ht="15.75" hidden="1" thickBot="1" x14ac:dyDescent="0.3">
      <c r="A270" s="75"/>
      <c r="B270" s="75"/>
      <c r="C270" s="35">
        <f>INDEX(Données!$F$2:$L$54,MATCH(F270,Données!$F$2:$F$54,0),2)</f>
        <v>44130</v>
      </c>
      <c r="D270" s="29" t="str">
        <f t="shared" si="8"/>
        <v>#2</v>
      </c>
      <c r="E270" s="7">
        <f>Données!K45</f>
        <v>44134</v>
      </c>
      <c r="F270" s="6" t="str">
        <f>INDEX(Données!$F$2:$L$54,MATCH('#2'!E270,Données!$G$2:$G$54,1),1)</f>
        <v>44</v>
      </c>
      <c r="G270" s="18" t="str">
        <f t="shared" si="9"/>
        <v>PS-2</v>
      </c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1"/>
      <c r="W270" s="75"/>
      <c r="X270" s="75"/>
      <c r="Y270" s="75"/>
      <c r="Z270" s="96">
        <f>SUM(Tableau14[[#This Row],[A-1]:[G-5]])</f>
        <v>0</v>
      </c>
      <c r="AA270" s="96" t="str">
        <f>IF(AND(Z270&gt;0,Tableau14[[#This Row],[CDS]]=""),"Oui","Non")</f>
        <v>Non</v>
      </c>
      <c r="AB270" s="75"/>
      <c r="AC270" s="75"/>
      <c r="AD270" s="75"/>
      <c r="AE270" s="75"/>
      <c r="AF270" s="75"/>
      <c r="AG270" s="75"/>
      <c r="AH270" s="75"/>
      <c r="AI270" s="75"/>
      <c r="AJ270" s="81"/>
      <c r="AK270" s="75"/>
      <c r="AL270" s="75"/>
    </row>
    <row r="271" spans="1:38" ht="15.75" hidden="1" thickBot="1" x14ac:dyDescent="0.3">
      <c r="A271" s="75"/>
      <c r="B271" s="75"/>
      <c r="C271" s="35">
        <f>INDEX(Données!$F$2:$L$54,MATCH(F271,Données!$F$2:$F$54,0),2)</f>
        <v>44130</v>
      </c>
      <c r="D271" s="29" t="str">
        <f t="shared" si="8"/>
        <v>#2</v>
      </c>
      <c r="E271" s="7">
        <f>Données!L45</f>
        <v>44135</v>
      </c>
      <c r="F271" s="6" t="str">
        <f>INDEX(Données!$F$2:$L$54,MATCH('#2'!E271,Données!$G$2:$G$54,1),1)</f>
        <v>44</v>
      </c>
      <c r="G271" s="18" t="str">
        <f t="shared" si="9"/>
        <v>PS-2</v>
      </c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1"/>
      <c r="W271" s="75"/>
      <c r="X271" s="75"/>
      <c r="Y271" s="75"/>
      <c r="Z271" s="96">
        <f>SUM(Tableau14[[#This Row],[A-1]:[G-5]])</f>
        <v>0</v>
      </c>
      <c r="AA271" s="96" t="str">
        <f>IF(AND(Z271&gt;0,Tableau14[[#This Row],[CDS]]=""),"Oui","Non")</f>
        <v>Non</v>
      </c>
      <c r="AB271" s="75"/>
      <c r="AC271" s="75"/>
      <c r="AD271" s="75"/>
      <c r="AE271" s="75"/>
      <c r="AF271" s="75"/>
      <c r="AG271" s="75"/>
      <c r="AH271" s="75"/>
      <c r="AI271" s="75"/>
      <c r="AJ271" s="81"/>
      <c r="AK271" s="75"/>
      <c r="AL271" s="75"/>
    </row>
    <row r="272" spans="1:38" ht="15.75" hidden="1" thickBot="1" x14ac:dyDescent="0.3">
      <c r="A272" s="75"/>
      <c r="B272" s="75"/>
      <c r="C272" s="35">
        <f>INDEX(Données!$F$2:$L$54,MATCH(F272,Données!$F$2:$F$54,0),2)</f>
        <v>44137</v>
      </c>
      <c r="D272" s="29" t="str">
        <f t="shared" si="8"/>
        <v>#2</v>
      </c>
      <c r="E272" s="7">
        <f>Données!G46</f>
        <v>44137</v>
      </c>
      <c r="F272" s="6" t="str">
        <f>INDEX(Données!$F$2:$L$54,MATCH('#2'!E272,Données!$G$2:$G$54,1),1)</f>
        <v>45</v>
      </c>
      <c r="G272" s="18" t="str">
        <f t="shared" si="9"/>
        <v>PS-2</v>
      </c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1"/>
      <c r="W272" s="75"/>
      <c r="X272" s="75"/>
      <c r="Y272" s="75"/>
      <c r="Z272" s="96">
        <f>SUM(Tableau14[[#This Row],[A-1]:[G-5]])</f>
        <v>0</v>
      </c>
      <c r="AA272" s="96" t="str">
        <f>IF(AND(Z272&gt;0,Tableau14[[#This Row],[CDS]]=""),"Oui","Non")</f>
        <v>Non</v>
      </c>
      <c r="AB272" s="75"/>
      <c r="AC272" s="75"/>
      <c r="AD272" s="75"/>
      <c r="AE272" s="75"/>
      <c r="AF272" s="75"/>
      <c r="AG272" s="75"/>
      <c r="AH272" s="75"/>
      <c r="AI272" s="75"/>
      <c r="AJ272" s="81"/>
      <c r="AK272" s="75"/>
      <c r="AL272" s="75"/>
    </row>
    <row r="273" spans="1:38" ht="15.75" hidden="1" thickBot="1" x14ac:dyDescent="0.3">
      <c r="A273" s="75"/>
      <c r="B273" s="75"/>
      <c r="C273" s="35">
        <f>INDEX(Données!$F$2:$L$54,MATCH(F273,Données!$F$2:$F$54,0),2)</f>
        <v>44137</v>
      </c>
      <c r="D273" s="29" t="str">
        <f t="shared" si="8"/>
        <v>#2</v>
      </c>
      <c r="E273" s="7">
        <f>Données!H46</f>
        <v>44138</v>
      </c>
      <c r="F273" s="6" t="str">
        <f>INDEX(Données!$F$2:$L$54,MATCH('#2'!E273,Données!$G$2:$G$54,1),1)</f>
        <v>45</v>
      </c>
      <c r="G273" s="18" t="str">
        <f t="shared" si="9"/>
        <v>PS-2</v>
      </c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1"/>
      <c r="W273" s="75"/>
      <c r="X273" s="75"/>
      <c r="Y273" s="75"/>
      <c r="Z273" s="96">
        <f>SUM(Tableau14[[#This Row],[A-1]:[G-5]])</f>
        <v>0</v>
      </c>
      <c r="AA273" s="96" t="str">
        <f>IF(AND(Z273&gt;0,Tableau14[[#This Row],[CDS]]=""),"Oui","Non")</f>
        <v>Non</v>
      </c>
      <c r="AB273" s="75"/>
      <c r="AC273" s="75"/>
      <c r="AD273" s="75"/>
      <c r="AE273" s="75"/>
      <c r="AF273" s="75"/>
      <c r="AG273" s="75"/>
      <c r="AH273" s="75"/>
      <c r="AI273" s="75"/>
      <c r="AJ273" s="81"/>
      <c r="AK273" s="75"/>
      <c r="AL273" s="75"/>
    </row>
    <row r="274" spans="1:38" ht="15.75" hidden="1" thickBot="1" x14ac:dyDescent="0.3">
      <c r="A274" s="75"/>
      <c r="B274" s="75"/>
      <c r="C274" s="35">
        <f>INDEX(Données!$F$2:$L$54,MATCH(F274,Données!$F$2:$F$54,0),2)</f>
        <v>44137</v>
      </c>
      <c r="D274" s="29" t="str">
        <f t="shared" si="8"/>
        <v>#2</v>
      </c>
      <c r="E274" s="7">
        <f>Données!I46</f>
        <v>44139</v>
      </c>
      <c r="F274" s="6" t="str">
        <f>INDEX(Données!$F$2:$L$54,MATCH('#2'!E274,Données!$G$2:$G$54,1),1)</f>
        <v>45</v>
      </c>
      <c r="G274" s="18" t="str">
        <f t="shared" si="9"/>
        <v>PS-2</v>
      </c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1"/>
      <c r="W274" s="75"/>
      <c r="X274" s="75"/>
      <c r="Y274" s="75"/>
      <c r="Z274" s="96">
        <f>SUM(Tableau14[[#This Row],[A-1]:[G-5]])</f>
        <v>0</v>
      </c>
      <c r="AA274" s="96" t="str">
        <f>IF(AND(Z274&gt;0,Tableau14[[#This Row],[CDS]]=""),"Oui","Non")</f>
        <v>Non</v>
      </c>
      <c r="AB274" s="75"/>
      <c r="AC274" s="75"/>
      <c r="AD274" s="75"/>
      <c r="AE274" s="75"/>
      <c r="AF274" s="75"/>
      <c r="AG274" s="75"/>
      <c r="AH274" s="75"/>
      <c r="AI274" s="75"/>
      <c r="AJ274" s="81"/>
      <c r="AK274" s="75"/>
      <c r="AL274" s="75"/>
    </row>
    <row r="275" spans="1:38" ht="15.75" hidden="1" thickBot="1" x14ac:dyDescent="0.3">
      <c r="A275" s="75"/>
      <c r="B275" s="75"/>
      <c r="C275" s="35">
        <f>INDEX(Données!$F$2:$L$54,MATCH(F275,Données!$F$2:$F$54,0),2)</f>
        <v>44137</v>
      </c>
      <c r="D275" s="29" t="str">
        <f t="shared" si="8"/>
        <v>#2</v>
      </c>
      <c r="E275" s="7">
        <f>Données!J46</f>
        <v>44140</v>
      </c>
      <c r="F275" s="6" t="str">
        <f>INDEX(Données!$F$2:$L$54,MATCH('#2'!E275,Données!$G$2:$G$54,1),1)</f>
        <v>45</v>
      </c>
      <c r="G275" s="18" t="str">
        <f t="shared" si="9"/>
        <v>PS-2</v>
      </c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1"/>
      <c r="W275" s="75"/>
      <c r="X275" s="75"/>
      <c r="Y275" s="75"/>
      <c r="Z275" s="96">
        <f>SUM(Tableau14[[#This Row],[A-1]:[G-5]])</f>
        <v>0</v>
      </c>
      <c r="AA275" s="96" t="str">
        <f>IF(AND(Z275&gt;0,Tableau14[[#This Row],[CDS]]=""),"Oui","Non")</f>
        <v>Non</v>
      </c>
      <c r="AB275" s="75"/>
      <c r="AC275" s="75"/>
      <c r="AD275" s="75"/>
      <c r="AE275" s="75"/>
      <c r="AF275" s="75"/>
      <c r="AG275" s="75"/>
      <c r="AH275" s="75"/>
      <c r="AI275" s="75"/>
      <c r="AJ275" s="81"/>
      <c r="AK275" s="75"/>
      <c r="AL275" s="75"/>
    </row>
    <row r="276" spans="1:38" ht="15.75" hidden="1" thickBot="1" x14ac:dyDescent="0.3">
      <c r="A276" s="75"/>
      <c r="B276" s="75"/>
      <c r="C276" s="35">
        <f>INDEX(Données!$F$2:$L$54,MATCH(F276,Données!$F$2:$F$54,0),2)</f>
        <v>44137</v>
      </c>
      <c r="D276" s="29" t="str">
        <f t="shared" si="8"/>
        <v>#2</v>
      </c>
      <c r="E276" s="7">
        <f>Données!K46</f>
        <v>44141</v>
      </c>
      <c r="F276" s="6" t="str">
        <f>INDEX(Données!$F$2:$L$54,MATCH('#2'!E276,Données!$G$2:$G$54,1),1)</f>
        <v>45</v>
      </c>
      <c r="G276" s="18" t="str">
        <f t="shared" si="9"/>
        <v>PS-2</v>
      </c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1"/>
      <c r="W276" s="75"/>
      <c r="X276" s="75"/>
      <c r="Y276" s="75"/>
      <c r="Z276" s="96">
        <f>SUM(Tableau14[[#This Row],[A-1]:[G-5]])</f>
        <v>0</v>
      </c>
      <c r="AA276" s="96" t="str">
        <f>IF(AND(Z276&gt;0,Tableau14[[#This Row],[CDS]]=""),"Oui","Non")</f>
        <v>Non</v>
      </c>
      <c r="AB276" s="75"/>
      <c r="AC276" s="75"/>
      <c r="AD276" s="75"/>
      <c r="AE276" s="75"/>
      <c r="AF276" s="75"/>
      <c r="AG276" s="75"/>
      <c r="AH276" s="75"/>
      <c r="AI276" s="75"/>
      <c r="AJ276" s="81"/>
      <c r="AK276" s="75"/>
      <c r="AL276" s="75"/>
    </row>
    <row r="277" spans="1:38" ht="15.75" hidden="1" thickBot="1" x14ac:dyDescent="0.3">
      <c r="A277" s="75"/>
      <c r="B277" s="75"/>
      <c r="C277" s="35">
        <f>INDEX(Données!$F$2:$L$54,MATCH(F277,Données!$F$2:$F$54,0),2)</f>
        <v>44137</v>
      </c>
      <c r="D277" s="29" t="str">
        <f t="shared" si="8"/>
        <v>#2</v>
      </c>
      <c r="E277" s="7">
        <f>Données!L46</f>
        <v>44142</v>
      </c>
      <c r="F277" s="6" t="str">
        <f>INDEX(Données!$F$2:$L$54,MATCH('#2'!E277,Données!$G$2:$G$54,1),1)</f>
        <v>45</v>
      </c>
      <c r="G277" s="18" t="str">
        <f t="shared" si="9"/>
        <v>PS-2</v>
      </c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1"/>
      <c r="W277" s="75"/>
      <c r="X277" s="75"/>
      <c r="Y277" s="75"/>
      <c r="Z277" s="96">
        <f>SUM(Tableau14[[#This Row],[A-1]:[G-5]])</f>
        <v>0</v>
      </c>
      <c r="AA277" s="96" t="str">
        <f>IF(AND(Z277&gt;0,Tableau14[[#This Row],[CDS]]=""),"Oui","Non")</f>
        <v>Non</v>
      </c>
      <c r="AB277" s="75"/>
      <c r="AC277" s="75"/>
      <c r="AD277" s="75"/>
      <c r="AE277" s="75"/>
      <c r="AF277" s="75"/>
      <c r="AG277" s="75"/>
      <c r="AH277" s="75"/>
      <c r="AI277" s="75"/>
      <c r="AJ277" s="81"/>
      <c r="AK277" s="75"/>
      <c r="AL277" s="75"/>
    </row>
    <row r="278" spans="1:38" ht="15.75" hidden="1" thickBot="1" x14ac:dyDescent="0.3">
      <c r="A278" s="75"/>
      <c r="B278" s="75"/>
      <c r="C278" s="35">
        <f>INDEX(Données!$F$2:$L$54,MATCH(F278,Données!$F$2:$F$54,0),2)</f>
        <v>44144</v>
      </c>
      <c r="D278" s="29" t="str">
        <f t="shared" si="8"/>
        <v>#2</v>
      </c>
      <c r="E278" s="7">
        <f>Données!G47</f>
        <v>44144</v>
      </c>
      <c r="F278" s="6" t="str">
        <f>INDEX(Données!$F$2:$L$54,MATCH('#2'!E278,Données!$G$2:$G$54,1),1)</f>
        <v>46</v>
      </c>
      <c r="G278" s="18" t="str">
        <f t="shared" si="9"/>
        <v>PS-2</v>
      </c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1"/>
      <c r="W278" s="75"/>
      <c r="X278" s="75"/>
      <c r="Y278" s="75"/>
      <c r="Z278" s="96">
        <f>SUM(Tableau14[[#This Row],[A-1]:[G-5]])</f>
        <v>0</v>
      </c>
      <c r="AA278" s="96" t="str">
        <f>IF(AND(Z278&gt;0,Tableau14[[#This Row],[CDS]]=""),"Oui","Non")</f>
        <v>Non</v>
      </c>
      <c r="AB278" s="75"/>
      <c r="AC278" s="75"/>
      <c r="AD278" s="75"/>
      <c r="AE278" s="75"/>
      <c r="AF278" s="75"/>
      <c r="AG278" s="75"/>
      <c r="AH278" s="75"/>
      <c r="AI278" s="75"/>
      <c r="AJ278" s="81"/>
      <c r="AK278" s="75"/>
      <c r="AL278" s="75"/>
    </row>
    <row r="279" spans="1:38" ht="15.75" hidden="1" thickBot="1" x14ac:dyDescent="0.3">
      <c r="A279" s="75"/>
      <c r="B279" s="75"/>
      <c r="C279" s="35">
        <f>INDEX(Données!$F$2:$L$54,MATCH(F279,Données!$F$2:$F$54,0),2)</f>
        <v>44144</v>
      </c>
      <c r="D279" s="29" t="str">
        <f t="shared" si="8"/>
        <v>#2</v>
      </c>
      <c r="E279" s="7">
        <f>Données!H47</f>
        <v>44145</v>
      </c>
      <c r="F279" s="6" t="str">
        <f>INDEX(Données!$F$2:$L$54,MATCH('#2'!E279,Données!$G$2:$G$54,1),1)</f>
        <v>46</v>
      </c>
      <c r="G279" s="18" t="str">
        <f t="shared" si="9"/>
        <v>PS-2</v>
      </c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1"/>
      <c r="W279" s="75"/>
      <c r="X279" s="75"/>
      <c r="Y279" s="75"/>
      <c r="Z279" s="96">
        <f>SUM(Tableau14[[#This Row],[A-1]:[G-5]])</f>
        <v>0</v>
      </c>
      <c r="AA279" s="96" t="str">
        <f>IF(AND(Z279&gt;0,Tableau14[[#This Row],[CDS]]=""),"Oui","Non")</f>
        <v>Non</v>
      </c>
      <c r="AB279" s="75"/>
      <c r="AC279" s="75"/>
      <c r="AD279" s="75"/>
      <c r="AE279" s="75"/>
      <c r="AF279" s="75"/>
      <c r="AG279" s="75"/>
      <c r="AH279" s="75"/>
      <c r="AI279" s="75"/>
      <c r="AJ279" s="81"/>
      <c r="AK279" s="75"/>
      <c r="AL279" s="75"/>
    </row>
    <row r="280" spans="1:38" ht="15.75" hidden="1" thickBot="1" x14ac:dyDescent="0.3">
      <c r="A280" s="75"/>
      <c r="B280" s="75"/>
      <c r="C280" s="35">
        <f>INDEX(Données!$F$2:$L$54,MATCH(F280,Données!$F$2:$F$54,0),2)</f>
        <v>44144</v>
      </c>
      <c r="D280" s="29" t="str">
        <f t="shared" si="8"/>
        <v>#2</v>
      </c>
      <c r="E280" s="7">
        <f>Données!I47</f>
        <v>44146</v>
      </c>
      <c r="F280" s="6" t="str">
        <f>INDEX(Données!$F$2:$L$54,MATCH('#2'!E280,Données!$G$2:$G$54,1),1)</f>
        <v>46</v>
      </c>
      <c r="G280" s="18" t="str">
        <f t="shared" si="9"/>
        <v>PS-2</v>
      </c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1"/>
      <c r="W280" s="75"/>
      <c r="X280" s="75"/>
      <c r="Y280" s="75"/>
      <c r="Z280" s="96">
        <f>SUM(Tableau14[[#This Row],[A-1]:[G-5]])</f>
        <v>0</v>
      </c>
      <c r="AA280" s="96" t="str">
        <f>IF(AND(Z280&gt;0,Tableau14[[#This Row],[CDS]]=""),"Oui","Non")</f>
        <v>Non</v>
      </c>
      <c r="AB280" s="75"/>
      <c r="AC280" s="75"/>
      <c r="AD280" s="75"/>
      <c r="AE280" s="75"/>
      <c r="AF280" s="75"/>
      <c r="AG280" s="75"/>
      <c r="AH280" s="75"/>
      <c r="AI280" s="75"/>
      <c r="AJ280" s="81"/>
      <c r="AK280" s="75"/>
      <c r="AL280" s="75"/>
    </row>
    <row r="281" spans="1:38" ht="15.75" hidden="1" thickBot="1" x14ac:dyDescent="0.3">
      <c r="A281" s="75"/>
      <c r="B281" s="75"/>
      <c r="C281" s="35">
        <f>INDEX(Données!$F$2:$L$54,MATCH(F281,Données!$F$2:$F$54,0),2)</f>
        <v>44144</v>
      </c>
      <c r="D281" s="29" t="str">
        <f t="shared" si="8"/>
        <v>#2</v>
      </c>
      <c r="E281" s="7">
        <f>Données!J47</f>
        <v>44147</v>
      </c>
      <c r="F281" s="6" t="str">
        <f>INDEX(Données!$F$2:$L$54,MATCH('#2'!E281,Données!$G$2:$G$54,1),1)</f>
        <v>46</v>
      </c>
      <c r="G281" s="18" t="str">
        <f t="shared" si="9"/>
        <v>PS-2</v>
      </c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1"/>
      <c r="W281" s="75"/>
      <c r="X281" s="75"/>
      <c r="Y281" s="75"/>
      <c r="Z281" s="96">
        <f>SUM(Tableau14[[#This Row],[A-1]:[G-5]])</f>
        <v>0</v>
      </c>
      <c r="AA281" s="96" t="str">
        <f>IF(AND(Z281&gt;0,Tableau14[[#This Row],[CDS]]=""),"Oui","Non")</f>
        <v>Non</v>
      </c>
      <c r="AB281" s="75"/>
      <c r="AC281" s="75"/>
      <c r="AD281" s="75"/>
      <c r="AE281" s="75"/>
      <c r="AF281" s="75"/>
      <c r="AG281" s="75"/>
      <c r="AH281" s="75"/>
      <c r="AI281" s="75"/>
      <c r="AJ281" s="81"/>
      <c r="AK281" s="75"/>
      <c r="AL281" s="75"/>
    </row>
    <row r="282" spans="1:38" ht="15.75" hidden="1" thickBot="1" x14ac:dyDescent="0.3">
      <c r="A282" s="75"/>
      <c r="B282" s="75"/>
      <c r="C282" s="35">
        <f>INDEX(Données!$F$2:$L$54,MATCH(F282,Données!$F$2:$F$54,0),2)</f>
        <v>44144</v>
      </c>
      <c r="D282" s="29" t="str">
        <f t="shared" si="8"/>
        <v>#2</v>
      </c>
      <c r="E282" s="7">
        <f>Données!K47</f>
        <v>44148</v>
      </c>
      <c r="F282" s="6" t="str">
        <f>INDEX(Données!$F$2:$L$54,MATCH('#2'!E282,Données!$G$2:$G$54,1),1)</f>
        <v>46</v>
      </c>
      <c r="G282" s="18" t="str">
        <f t="shared" si="9"/>
        <v>PS-2</v>
      </c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1"/>
      <c r="W282" s="75"/>
      <c r="X282" s="75"/>
      <c r="Y282" s="75"/>
      <c r="Z282" s="96">
        <f>SUM(Tableau14[[#This Row],[A-1]:[G-5]])</f>
        <v>0</v>
      </c>
      <c r="AA282" s="96" t="str">
        <f>IF(AND(Z282&gt;0,Tableau14[[#This Row],[CDS]]=""),"Oui","Non")</f>
        <v>Non</v>
      </c>
      <c r="AB282" s="75"/>
      <c r="AC282" s="75"/>
      <c r="AD282" s="75"/>
      <c r="AE282" s="75"/>
      <c r="AF282" s="75"/>
      <c r="AG282" s="75"/>
      <c r="AH282" s="75"/>
      <c r="AI282" s="75"/>
      <c r="AJ282" s="81"/>
      <c r="AK282" s="75"/>
      <c r="AL282" s="75"/>
    </row>
    <row r="283" spans="1:38" ht="15.75" hidden="1" thickBot="1" x14ac:dyDescent="0.3">
      <c r="A283" s="75"/>
      <c r="B283" s="75"/>
      <c r="C283" s="35">
        <f>INDEX(Données!$F$2:$L$54,MATCH(F283,Données!$F$2:$F$54,0),2)</f>
        <v>44144</v>
      </c>
      <c r="D283" s="29" t="str">
        <f t="shared" si="8"/>
        <v>#2</v>
      </c>
      <c r="E283" s="7">
        <f>Données!L47</f>
        <v>44149</v>
      </c>
      <c r="F283" s="6" t="str">
        <f>INDEX(Données!$F$2:$L$54,MATCH('#2'!E283,Données!$G$2:$G$54,1),1)</f>
        <v>46</v>
      </c>
      <c r="G283" s="18" t="str">
        <f t="shared" si="9"/>
        <v>PS-2</v>
      </c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1"/>
      <c r="W283" s="75"/>
      <c r="X283" s="75"/>
      <c r="Y283" s="75"/>
      <c r="Z283" s="96">
        <f>SUM(Tableau14[[#This Row],[A-1]:[G-5]])</f>
        <v>0</v>
      </c>
      <c r="AA283" s="96" t="str">
        <f>IF(AND(Z283&gt;0,Tableau14[[#This Row],[CDS]]=""),"Oui","Non")</f>
        <v>Non</v>
      </c>
      <c r="AB283" s="75"/>
      <c r="AC283" s="75"/>
      <c r="AD283" s="75"/>
      <c r="AE283" s="75"/>
      <c r="AF283" s="75"/>
      <c r="AG283" s="75"/>
      <c r="AH283" s="75"/>
      <c r="AI283" s="75"/>
      <c r="AJ283" s="81"/>
      <c r="AK283" s="75"/>
      <c r="AL283" s="75"/>
    </row>
    <row r="284" spans="1:38" ht="15.75" hidden="1" thickBot="1" x14ac:dyDescent="0.3">
      <c r="A284" s="75"/>
      <c r="B284" s="75"/>
      <c r="C284" s="35">
        <f>INDEX(Données!$F$2:$L$54,MATCH(F284,Données!$F$2:$F$54,0),2)</f>
        <v>44151</v>
      </c>
      <c r="D284" s="29" t="str">
        <f t="shared" si="8"/>
        <v>#2</v>
      </c>
      <c r="E284" s="7">
        <f>Données!G48</f>
        <v>44151</v>
      </c>
      <c r="F284" s="6" t="str">
        <f>INDEX(Données!$F$2:$L$54,MATCH('#2'!E284,Données!$G$2:$G$54,1),1)</f>
        <v>47</v>
      </c>
      <c r="G284" s="18" t="str">
        <f t="shared" si="9"/>
        <v>PS-2</v>
      </c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1"/>
      <c r="W284" s="75"/>
      <c r="X284" s="75"/>
      <c r="Y284" s="75"/>
      <c r="Z284" s="96">
        <f>SUM(Tableau14[[#This Row],[A-1]:[G-5]])</f>
        <v>0</v>
      </c>
      <c r="AA284" s="96" t="str">
        <f>IF(AND(Z284&gt;0,Tableau14[[#This Row],[CDS]]=""),"Oui","Non")</f>
        <v>Non</v>
      </c>
      <c r="AB284" s="75"/>
      <c r="AC284" s="75"/>
      <c r="AD284" s="75"/>
      <c r="AE284" s="75"/>
      <c r="AF284" s="75"/>
      <c r="AG284" s="75"/>
      <c r="AH284" s="75"/>
      <c r="AI284" s="75"/>
      <c r="AJ284" s="81"/>
      <c r="AK284" s="75"/>
      <c r="AL284" s="75"/>
    </row>
    <row r="285" spans="1:38" ht="15.75" hidden="1" thickBot="1" x14ac:dyDescent="0.3">
      <c r="A285" s="75"/>
      <c r="B285" s="75"/>
      <c r="C285" s="35">
        <f>INDEX(Données!$F$2:$L$54,MATCH(F285,Données!$F$2:$F$54,0),2)</f>
        <v>44151</v>
      </c>
      <c r="D285" s="29" t="str">
        <f t="shared" si="8"/>
        <v>#2</v>
      </c>
      <c r="E285" s="7">
        <f>Données!H48</f>
        <v>44152</v>
      </c>
      <c r="F285" s="6" t="str">
        <f>INDEX(Données!$F$2:$L$54,MATCH('#2'!E285,Données!$G$2:$G$54,1),1)</f>
        <v>47</v>
      </c>
      <c r="G285" s="18" t="str">
        <f t="shared" si="9"/>
        <v>PS-2</v>
      </c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1"/>
      <c r="W285" s="75"/>
      <c r="X285" s="75"/>
      <c r="Y285" s="75"/>
      <c r="Z285" s="96">
        <f>SUM(Tableau14[[#This Row],[A-1]:[G-5]])</f>
        <v>0</v>
      </c>
      <c r="AA285" s="96" t="str">
        <f>IF(AND(Z285&gt;0,Tableau14[[#This Row],[CDS]]=""),"Oui","Non")</f>
        <v>Non</v>
      </c>
      <c r="AB285" s="75"/>
      <c r="AC285" s="75"/>
      <c r="AD285" s="75"/>
      <c r="AE285" s="75"/>
      <c r="AF285" s="75"/>
      <c r="AG285" s="75"/>
      <c r="AH285" s="75"/>
      <c r="AI285" s="75"/>
      <c r="AJ285" s="81"/>
      <c r="AK285" s="75"/>
      <c r="AL285" s="75"/>
    </row>
    <row r="286" spans="1:38" ht="15.75" hidden="1" thickBot="1" x14ac:dyDescent="0.3">
      <c r="A286" s="75"/>
      <c r="B286" s="75"/>
      <c r="C286" s="35">
        <f>INDEX(Données!$F$2:$L$54,MATCH(F286,Données!$F$2:$F$54,0),2)</f>
        <v>44151</v>
      </c>
      <c r="D286" s="29" t="str">
        <f t="shared" si="8"/>
        <v>#2</v>
      </c>
      <c r="E286" s="7">
        <f>Données!I48</f>
        <v>44153</v>
      </c>
      <c r="F286" s="6" t="str">
        <f>INDEX(Données!$F$2:$L$54,MATCH('#2'!E286,Données!$G$2:$G$54,1),1)</f>
        <v>47</v>
      </c>
      <c r="G286" s="18" t="str">
        <f t="shared" si="9"/>
        <v>PS-2</v>
      </c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1"/>
      <c r="W286" s="75"/>
      <c r="X286" s="75"/>
      <c r="Y286" s="75"/>
      <c r="Z286" s="96">
        <f>SUM(Tableau14[[#This Row],[A-1]:[G-5]])</f>
        <v>0</v>
      </c>
      <c r="AA286" s="96" t="str">
        <f>IF(AND(Z286&gt;0,Tableau14[[#This Row],[CDS]]=""),"Oui","Non")</f>
        <v>Non</v>
      </c>
      <c r="AB286" s="75"/>
      <c r="AC286" s="75"/>
      <c r="AD286" s="75"/>
      <c r="AE286" s="75"/>
      <c r="AF286" s="75"/>
      <c r="AG286" s="75"/>
      <c r="AH286" s="75"/>
      <c r="AI286" s="75"/>
      <c r="AJ286" s="81"/>
      <c r="AK286" s="75"/>
      <c r="AL286" s="75"/>
    </row>
    <row r="287" spans="1:38" ht="15.75" hidden="1" thickBot="1" x14ac:dyDescent="0.3">
      <c r="A287" s="75"/>
      <c r="B287" s="75"/>
      <c r="C287" s="35">
        <f>INDEX(Données!$F$2:$L$54,MATCH(F287,Données!$F$2:$F$54,0),2)</f>
        <v>44151</v>
      </c>
      <c r="D287" s="29" t="str">
        <f t="shared" si="8"/>
        <v>#2</v>
      </c>
      <c r="E287" s="7">
        <f>Données!J48</f>
        <v>44154</v>
      </c>
      <c r="F287" s="6" t="str">
        <f>INDEX(Données!$F$2:$L$54,MATCH('#2'!E287,Données!$G$2:$G$54,1),1)</f>
        <v>47</v>
      </c>
      <c r="G287" s="18" t="str">
        <f t="shared" si="9"/>
        <v>PS-2</v>
      </c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1"/>
      <c r="W287" s="75"/>
      <c r="X287" s="75"/>
      <c r="Y287" s="75"/>
      <c r="Z287" s="96">
        <f>SUM(Tableau14[[#This Row],[A-1]:[G-5]])</f>
        <v>0</v>
      </c>
      <c r="AA287" s="96" t="str">
        <f>IF(AND(Z287&gt;0,Tableau14[[#This Row],[CDS]]=""),"Oui","Non")</f>
        <v>Non</v>
      </c>
      <c r="AB287" s="75"/>
      <c r="AC287" s="75"/>
      <c r="AD287" s="75"/>
      <c r="AE287" s="75"/>
      <c r="AF287" s="75"/>
      <c r="AG287" s="75"/>
      <c r="AH287" s="75"/>
      <c r="AI287" s="75"/>
      <c r="AJ287" s="81"/>
      <c r="AK287" s="75"/>
      <c r="AL287" s="75"/>
    </row>
    <row r="288" spans="1:38" ht="15.75" hidden="1" thickBot="1" x14ac:dyDescent="0.3">
      <c r="A288" s="75"/>
      <c r="B288" s="75"/>
      <c r="C288" s="35">
        <f>INDEX(Données!$F$2:$L$54,MATCH(F288,Données!$F$2:$F$54,0),2)</f>
        <v>44151</v>
      </c>
      <c r="D288" s="29" t="str">
        <f t="shared" si="8"/>
        <v>#2</v>
      </c>
      <c r="E288" s="7">
        <f>Données!K48</f>
        <v>44155</v>
      </c>
      <c r="F288" s="6" t="str">
        <f>INDEX(Données!$F$2:$L$54,MATCH('#2'!E288,Données!$G$2:$G$54,1),1)</f>
        <v>47</v>
      </c>
      <c r="G288" s="18" t="str">
        <f t="shared" si="9"/>
        <v>PS-2</v>
      </c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1"/>
      <c r="W288" s="75"/>
      <c r="X288" s="75"/>
      <c r="Y288" s="75"/>
      <c r="Z288" s="96">
        <f>SUM(Tableau14[[#This Row],[A-1]:[G-5]])</f>
        <v>0</v>
      </c>
      <c r="AA288" s="96" t="str">
        <f>IF(AND(Z288&gt;0,Tableau14[[#This Row],[CDS]]=""),"Oui","Non")</f>
        <v>Non</v>
      </c>
      <c r="AB288" s="75"/>
      <c r="AC288" s="75"/>
      <c r="AD288" s="75"/>
      <c r="AE288" s="75"/>
      <c r="AF288" s="75"/>
      <c r="AG288" s="75"/>
      <c r="AH288" s="75"/>
      <c r="AI288" s="75"/>
      <c r="AJ288" s="81"/>
      <c r="AK288" s="75"/>
      <c r="AL288" s="75"/>
    </row>
    <row r="289" spans="1:38" ht="15.75" hidden="1" thickBot="1" x14ac:dyDescent="0.3">
      <c r="A289" s="75"/>
      <c r="B289" s="75"/>
      <c r="C289" s="35">
        <f>INDEX(Données!$F$2:$L$54,MATCH(F289,Données!$F$2:$F$54,0),2)</f>
        <v>44151</v>
      </c>
      <c r="D289" s="29" t="str">
        <f t="shared" si="8"/>
        <v>#2</v>
      </c>
      <c r="E289" s="7">
        <f>Données!L48</f>
        <v>44156</v>
      </c>
      <c r="F289" s="6" t="str">
        <f>INDEX(Données!$F$2:$L$54,MATCH('#2'!E289,Données!$G$2:$G$54,1),1)</f>
        <v>47</v>
      </c>
      <c r="G289" s="18" t="str">
        <f t="shared" si="9"/>
        <v>PS-2</v>
      </c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1"/>
      <c r="W289" s="75"/>
      <c r="X289" s="75"/>
      <c r="Y289" s="75"/>
      <c r="Z289" s="96">
        <f>SUM(Tableau14[[#This Row],[A-1]:[G-5]])</f>
        <v>0</v>
      </c>
      <c r="AA289" s="96" t="str">
        <f>IF(AND(Z289&gt;0,Tableau14[[#This Row],[CDS]]=""),"Oui","Non")</f>
        <v>Non</v>
      </c>
      <c r="AB289" s="75"/>
      <c r="AC289" s="75"/>
      <c r="AD289" s="75"/>
      <c r="AE289" s="75"/>
      <c r="AF289" s="75"/>
      <c r="AG289" s="75"/>
      <c r="AH289" s="75"/>
      <c r="AI289" s="75"/>
      <c r="AJ289" s="81"/>
      <c r="AK289" s="75"/>
      <c r="AL289" s="75"/>
    </row>
    <row r="290" spans="1:38" ht="15.75" hidden="1" thickBot="1" x14ac:dyDescent="0.3">
      <c r="A290" s="75"/>
      <c r="B290" s="75"/>
      <c r="C290" s="35">
        <f>INDEX(Données!$F$2:$L$54,MATCH(F290,Données!$F$2:$F$54,0),2)</f>
        <v>44158</v>
      </c>
      <c r="D290" s="29" t="str">
        <f t="shared" si="8"/>
        <v>#2</v>
      </c>
      <c r="E290" s="7">
        <f>Données!G49</f>
        <v>44158</v>
      </c>
      <c r="F290" s="6" t="str">
        <f>INDEX(Données!$F$2:$L$54,MATCH('#2'!E290,Données!$G$2:$G$54,1),1)</f>
        <v>48</v>
      </c>
      <c r="G290" s="18" t="str">
        <f t="shared" si="9"/>
        <v>PS-2</v>
      </c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1"/>
      <c r="W290" s="75"/>
      <c r="X290" s="75"/>
      <c r="Y290" s="75"/>
      <c r="Z290" s="96">
        <f>SUM(Tableau14[[#This Row],[A-1]:[G-5]])</f>
        <v>0</v>
      </c>
      <c r="AA290" s="96" t="str">
        <f>IF(AND(Z290&gt;0,Tableau14[[#This Row],[CDS]]=""),"Oui","Non")</f>
        <v>Non</v>
      </c>
      <c r="AB290" s="75"/>
      <c r="AC290" s="75"/>
      <c r="AD290" s="75"/>
      <c r="AE290" s="75"/>
      <c r="AF290" s="75"/>
      <c r="AG290" s="75"/>
      <c r="AH290" s="75"/>
      <c r="AI290" s="75"/>
      <c r="AJ290" s="81"/>
      <c r="AK290" s="75"/>
      <c r="AL290" s="75"/>
    </row>
    <row r="291" spans="1:38" ht="15.75" hidden="1" thickBot="1" x14ac:dyDescent="0.3">
      <c r="A291" s="75"/>
      <c r="B291" s="75"/>
      <c r="C291" s="35">
        <f>INDEX(Données!$F$2:$L$54,MATCH(F291,Données!$F$2:$F$54,0),2)</f>
        <v>44158</v>
      </c>
      <c r="D291" s="29" t="str">
        <f t="shared" si="8"/>
        <v>#2</v>
      </c>
      <c r="E291" s="7">
        <f>Données!H49</f>
        <v>44159</v>
      </c>
      <c r="F291" s="6" t="str">
        <f>INDEX(Données!$F$2:$L$54,MATCH('#2'!E291,Données!$G$2:$G$54,1),1)</f>
        <v>48</v>
      </c>
      <c r="G291" s="18" t="str">
        <f t="shared" si="9"/>
        <v>PS-2</v>
      </c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1"/>
      <c r="W291" s="75"/>
      <c r="X291" s="75"/>
      <c r="Y291" s="75"/>
      <c r="Z291" s="96">
        <f>SUM(Tableau14[[#This Row],[A-1]:[G-5]])</f>
        <v>0</v>
      </c>
      <c r="AA291" s="96" t="str">
        <f>IF(AND(Z291&gt;0,Tableau14[[#This Row],[CDS]]=""),"Oui","Non")</f>
        <v>Non</v>
      </c>
      <c r="AB291" s="75"/>
      <c r="AC291" s="75"/>
      <c r="AD291" s="75"/>
      <c r="AE291" s="75"/>
      <c r="AF291" s="75"/>
      <c r="AG291" s="75"/>
      <c r="AH291" s="75"/>
      <c r="AI291" s="75"/>
      <c r="AJ291" s="81"/>
      <c r="AK291" s="75"/>
      <c r="AL291" s="75"/>
    </row>
    <row r="292" spans="1:38" ht="15.75" hidden="1" thickBot="1" x14ac:dyDescent="0.3">
      <c r="A292" s="75"/>
      <c r="B292" s="75"/>
      <c r="C292" s="35">
        <f>INDEX(Données!$F$2:$L$54,MATCH(F292,Données!$F$2:$F$54,0),2)</f>
        <v>44158</v>
      </c>
      <c r="D292" s="29" t="str">
        <f t="shared" si="8"/>
        <v>#2</v>
      </c>
      <c r="E292" s="7">
        <f>Données!I49</f>
        <v>44160</v>
      </c>
      <c r="F292" s="6" t="str">
        <f>INDEX(Données!$F$2:$L$54,MATCH('#2'!E292,Données!$G$2:$G$54,1),1)</f>
        <v>48</v>
      </c>
      <c r="G292" s="18" t="str">
        <f t="shared" si="9"/>
        <v>PS-2</v>
      </c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1"/>
      <c r="W292" s="75"/>
      <c r="X292" s="75"/>
      <c r="Y292" s="75"/>
      <c r="Z292" s="96">
        <f>SUM(Tableau14[[#This Row],[A-1]:[G-5]])</f>
        <v>0</v>
      </c>
      <c r="AA292" s="96" t="str">
        <f>IF(AND(Z292&gt;0,Tableau14[[#This Row],[CDS]]=""),"Oui","Non")</f>
        <v>Non</v>
      </c>
      <c r="AB292" s="75"/>
      <c r="AC292" s="75"/>
      <c r="AD292" s="75"/>
      <c r="AE292" s="75"/>
      <c r="AF292" s="75"/>
      <c r="AG292" s="75"/>
      <c r="AH292" s="75"/>
      <c r="AI292" s="75"/>
      <c r="AJ292" s="81"/>
      <c r="AK292" s="75"/>
      <c r="AL292" s="75"/>
    </row>
    <row r="293" spans="1:38" ht="15.75" hidden="1" thickBot="1" x14ac:dyDescent="0.3">
      <c r="A293" s="75"/>
      <c r="B293" s="75"/>
      <c r="C293" s="35">
        <f>INDEX(Données!$F$2:$L$54,MATCH(F293,Données!$F$2:$F$54,0),2)</f>
        <v>44158</v>
      </c>
      <c r="D293" s="29" t="str">
        <f t="shared" si="8"/>
        <v>#2</v>
      </c>
      <c r="E293" s="7">
        <f>Données!J49</f>
        <v>44161</v>
      </c>
      <c r="F293" s="6" t="str">
        <f>INDEX(Données!$F$2:$L$54,MATCH('#2'!E293,Données!$G$2:$G$54,1),1)</f>
        <v>48</v>
      </c>
      <c r="G293" s="18" t="str">
        <f t="shared" si="9"/>
        <v>PS-2</v>
      </c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1"/>
      <c r="W293" s="75"/>
      <c r="X293" s="75"/>
      <c r="Y293" s="75"/>
      <c r="Z293" s="96">
        <f>SUM(Tableau14[[#This Row],[A-1]:[G-5]])</f>
        <v>0</v>
      </c>
      <c r="AA293" s="96" t="str">
        <f>IF(AND(Z293&gt;0,Tableau14[[#This Row],[CDS]]=""),"Oui","Non")</f>
        <v>Non</v>
      </c>
      <c r="AB293" s="75"/>
      <c r="AC293" s="75"/>
      <c r="AD293" s="75"/>
      <c r="AE293" s="75"/>
      <c r="AF293" s="75"/>
      <c r="AG293" s="75"/>
      <c r="AH293" s="75"/>
      <c r="AI293" s="75"/>
      <c r="AJ293" s="81"/>
      <c r="AK293" s="75"/>
      <c r="AL293" s="75"/>
    </row>
    <row r="294" spans="1:38" ht="15.75" hidden="1" thickBot="1" x14ac:dyDescent="0.3">
      <c r="A294" s="75"/>
      <c r="B294" s="75"/>
      <c r="C294" s="35">
        <f>INDEX(Données!$F$2:$L$54,MATCH(F294,Données!$F$2:$F$54,0),2)</f>
        <v>44158</v>
      </c>
      <c r="D294" s="29" t="str">
        <f t="shared" si="8"/>
        <v>#2</v>
      </c>
      <c r="E294" s="7">
        <f>Données!K49</f>
        <v>44162</v>
      </c>
      <c r="F294" s="6" t="str">
        <f>INDEX(Données!$F$2:$L$54,MATCH('#2'!E294,Données!$G$2:$G$54,1),1)</f>
        <v>48</v>
      </c>
      <c r="G294" s="18" t="str">
        <f t="shared" si="9"/>
        <v>PS-2</v>
      </c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1"/>
      <c r="W294" s="75"/>
      <c r="X294" s="75"/>
      <c r="Y294" s="75"/>
      <c r="Z294" s="96">
        <f>SUM(Tableau14[[#This Row],[A-1]:[G-5]])</f>
        <v>0</v>
      </c>
      <c r="AA294" s="96" t="str">
        <f>IF(AND(Z294&gt;0,Tableau14[[#This Row],[CDS]]=""),"Oui","Non")</f>
        <v>Non</v>
      </c>
      <c r="AB294" s="75"/>
      <c r="AC294" s="75"/>
      <c r="AD294" s="75"/>
      <c r="AE294" s="75"/>
      <c r="AF294" s="75"/>
      <c r="AG294" s="75"/>
      <c r="AH294" s="75"/>
      <c r="AI294" s="75"/>
      <c r="AJ294" s="81"/>
      <c r="AK294" s="75"/>
      <c r="AL294" s="75"/>
    </row>
    <row r="295" spans="1:38" ht="15.75" hidden="1" thickBot="1" x14ac:dyDescent="0.3">
      <c r="A295" s="75"/>
      <c r="B295" s="75"/>
      <c r="C295" s="35">
        <f>INDEX(Données!$F$2:$L$54,MATCH(F295,Données!$F$2:$F$54,0),2)</f>
        <v>44158</v>
      </c>
      <c r="D295" s="29" t="str">
        <f t="shared" si="8"/>
        <v>#2</v>
      </c>
      <c r="E295" s="7">
        <f>Données!L49</f>
        <v>44163</v>
      </c>
      <c r="F295" s="6" t="str">
        <f>INDEX(Données!$F$2:$L$54,MATCH('#2'!E295,Données!$G$2:$G$54,1),1)</f>
        <v>48</v>
      </c>
      <c r="G295" s="18" t="str">
        <f t="shared" si="9"/>
        <v>PS-2</v>
      </c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1"/>
      <c r="W295" s="75"/>
      <c r="X295" s="75"/>
      <c r="Y295" s="75"/>
      <c r="Z295" s="96">
        <f>SUM(Tableau14[[#This Row],[A-1]:[G-5]])</f>
        <v>0</v>
      </c>
      <c r="AA295" s="96" t="str">
        <f>IF(AND(Z295&gt;0,Tableau14[[#This Row],[CDS]]=""),"Oui","Non")</f>
        <v>Non</v>
      </c>
      <c r="AB295" s="75"/>
      <c r="AC295" s="75"/>
      <c r="AD295" s="75"/>
      <c r="AE295" s="75"/>
      <c r="AF295" s="75"/>
      <c r="AG295" s="75"/>
      <c r="AH295" s="75"/>
      <c r="AI295" s="75"/>
      <c r="AJ295" s="81"/>
      <c r="AK295" s="75"/>
      <c r="AL295" s="75"/>
    </row>
    <row r="296" spans="1:38" ht="15.75" hidden="1" thickBot="1" x14ac:dyDescent="0.3">
      <c r="A296" s="75"/>
      <c r="B296" s="75"/>
      <c r="C296" s="35">
        <f>INDEX(Données!$F$2:$L$54,MATCH(F296,Données!$F$2:$F$54,0),2)</f>
        <v>44165</v>
      </c>
      <c r="D296" s="29" t="str">
        <f t="shared" si="8"/>
        <v>#2</v>
      </c>
      <c r="E296" s="7">
        <f>Données!G50</f>
        <v>44165</v>
      </c>
      <c r="F296" s="6" t="str">
        <f>INDEX(Données!$F$2:$L$54,MATCH('#2'!E296,Données!$G$2:$G$54,1),1)</f>
        <v>49</v>
      </c>
      <c r="G296" s="18" t="str">
        <f t="shared" si="9"/>
        <v>PS-2</v>
      </c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1"/>
      <c r="W296" s="75"/>
      <c r="X296" s="75"/>
      <c r="Y296" s="75"/>
      <c r="Z296" s="96">
        <f>SUM(Tableau14[[#This Row],[A-1]:[G-5]])</f>
        <v>0</v>
      </c>
      <c r="AA296" s="96" t="str">
        <f>IF(AND(Z296&gt;0,Tableau14[[#This Row],[CDS]]=""),"Oui","Non")</f>
        <v>Non</v>
      </c>
      <c r="AB296" s="75"/>
      <c r="AC296" s="75"/>
      <c r="AD296" s="75"/>
      <c r="AE296" s="75"/>
      <c r="AF296" s="75"/>
      <c r="AG296" s="75"/>
      <c r="AH296" s="75"/>
      <c r="AI296" s="75"/>
      <c r="AJ296" s="81"/>
      <c r="AK296" s="75"/>
      <c r="AL296" s="75"/>
    </row>
    <row r="297" spans="1:38" ht="15.75" hidden="1" thickBot="1" x14ac:dyDescent="0.3">
      <c r="A297" s="75"/>
      <c r="B297" s="75"/>
      <c r="C297" s="35">
        <f>INDEX(Données!$F$2:$L$54,MATCH(F297,Données!$F$2:$F$54,0),2)</f>
        <v>44165</v>
      </c>
      <c r="D297" s="29" t="str">
        <f t="shared" si="8"/>
        <v>#2</v>
      </c>
      <c r="E297" s="7">
        <f>Données!H50</f>
        <v>44166</v>
      </c>
      <c r="F297" s="6" t="str">
        <f>INDEX(Données!$F$2:$L$54,MATCH('#2'!E297,Données!$G$2:$G$54,1),1)</f>
        <v>49</v>
      </c>
      <c r="G297" s="18" t="str">
        <f t="shared" si="9"/>
        <v>PS-2</v>
      </c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1"/>
      <c r="W297" s="75"/>
      <c r="X297" s="75"/>
      <c r="Y297" s="75"/>
      <c r="Z297" s="96">
        <f>SUM(Tableau14[[#This Row],[A-1]:[G-5]])</f>
        <v>0</v>
      </c>
      <c r="AA297" s="96" t="str">
        <f>IF(AND(Z297&gt;0,Tableau14[[#This Row],[CDS]]=""),"Oui","Non")</f>
        <v>Non</v>
      </c>
      <c r="AB297" s="75"/>
      <c r="AC297" s="75"/>
      <c r="AD297" s="75"/>
      <c r="AE297" s="75"/>
      <c r="AF297" s="75"/>
      <c r="AG297" s="75"/>
      <c r="AH297" s="75"/>
      <c r="AI297" s="75"/>
      <c r="AJ297" s="81"/>
      <c r="AK297" s="75"/>
      <c r="AL297" s="75"/>
    </row>
    <row r="298" spans="1:38" ht="15.75" hidden="1" thickBot="1" x14ac:dyDescent="0.3">
      <c r="A298" s="75"/>
      <c r="B298" s="75"/>
      <c r="C298" s="35">
        <f>INDEX(Données!$F$2:$L$54,MATCH(F298,Données!$F$2:$F$54,0),2)</f>
        <v>44165</v>
      </c>
      <c r="D298" s="29" t="str">
        <f t="shared" si="8"/>
        <v>#2</v>
      </c>
      <c r="E298" s="7">
        <f>Données!I50</f>
        <v>44167</v>
      </c>
      <c r="F298" s="6" t="str">
        <f>INDEX(Données!$F$2:$L$54,MATCH('#2'!E298,Données!$G$2:$G$54,1),1)</f>
        <v>49</v>
      </c>
      <c r="G298" s="18" t="str">
        <f t="shared" si="9"/>
        <v>PS-2</v>
      </c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1"/>
      <c r="W298" s="75"/>
      <c r="X298" s="75"/>
      <c r="Y298" s="75"/>
      <c r="Z298" s="96">
        <f>SUM(Tableau14[[#This Row],[A-1]:[G-5]])</f>
        <v>0</v>
      </c>
      <c r="AA298" s="96" t="str">
        <f>IF(AND(Z298&gt;0,Tableau14[[#This Row],[CDS]]=""),"Oui","Non")</f>
        <v>Non</v>
      </c>
      <c r="AB298" s="75"/>
      <c r="AC298" s="75"/>
      <c r="AD298" s="75"/>
      <c r="AE298" s="75"/>
      <c r="AF298" s="75"/>
      <c r="AG298" s="75"/>
      <c r="AH298" s="75"/>
      <c r="AI298" s="75"/>
      <c r="AJ298" s="81"/>
      <c r="AK298" s="75"/>
      <c r="AL298" s="75"/>
    </row>
    <row r="299" spans="1:38" ht="15.75" hidden="1" thickBot="1" x14ac:dyDescent="0.3">
      <c r="A299" s="75"/>
      <c r="B299" s="75"/>
      <c r="C299" s="35">
        <f>INDEX(Données!$F$2:$L$54,MATCH(F299,Données!$F$2:$F$54,0),2)</f>
        <v>44165</v>
      </c>
      <c r="D299" s="29" t="str">
        <f t="shared" si="8"/>
        <v>#2</v>
      </c>
      <c r="E299" s="7">
        <f>Données!J50</f>
        <v>44168</v>
      </c>
      <c r="F299" s="6" t="str">
        <f>INDEX(Données!$F$2:$L$54,MATCH('#2'!E299,Données!$G$2:$G$54,1),1)</f>
        <v>49</v>
      </c>
      <c r="G299" s="18" t="str">
        <f t="shared" si="9"/>
        <v>PS-2</v>
      </c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1"/>
      <c r="W299" s="75"/>
      <c r="X299" s="75"/>
      <c r="Y299" s="75"/>
      <c r="Z299" s="96">
        <f>SUM(Tableau14[[#This Row],[A-1]:[G-5]])</f>
        <v>0</v>
      </c>
      <c r="AA299" s="96" t="str">
        <f>IF(AND(Z299&gt;0,Tableau14[[#This Row],[CDS]]=""),"Oui","Non")</f>
        <v>Non</v>
      </c>
      <c r="AB299" s="75"/>
      <c r="AC299" s="75"/>
      <c r="AD299" s="75"/>
      <c r="AE299" s="75"/>
      <c r="AF299" s="75"/>
      <c r="AG299" s="75"/>
      <c r="AH299" s="75"/>
      <c r="AI299" s="75"/>
      <c r="AJ299" s="81"/>
      <c r="AK299" s="75"/>
      <c r="AL299" s="75"/>
    </row>
    <row r="300" spans="1:38" ht="15.75" hidden="1" thickBot="1" x14ac:dyDescent="0.3">
      <c r="A300" s="75"/>
      <c r="B300" s="75"/>
      <c r="C300" s="35">
        <f>INDEX(Données!$F$2:$L$54,MATCH(F300,Données!$F$2:$F$54,0),2)</f>
        <v>44165</v>
      </c>
      <c r="D300" s="29" t="str">
        <f t="shared" si="8"/>
        <v>#2</v>
      </c>
      <c r="E300" s="7">
        <f>Données!K50</f>
        <v>44169</v>
      </c>
      <c r="F300" s="6" t="str">
        <f>INDEX(Données!$F$2:$L$54,MATCH('#2'!E300,Données!$G$2:$G$54,1),1)</f>
        <v>49</v>
      </c>
      <c r="G300" s="18" t="str">
        <f t="shared" si="9"/>
        <v>PS-2</v>
      </c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1"/>
      <c r="W300" s="75"/>
      <c r="X300" s="75"/>
      <c r="Y300" s="75"/>
      <c r="Z300" s="96">
        <f>SUM(Tableau14[[#This Row],[A-1]:[G-5]])</f>
        <v>0</v>
      </c>
      <c r="AA300" s="96" t="str">
        <f>IF(AND(Z300&gt;0,Tableau14[[#This Row],[CDS]]=""),"Oui","Non")</f>
        <v>Non</v>
      </c>
      <c r="AB300" s="75"/>
      <c r="AC300" s="75"/>
      <c r="AD300" s="75"/>
      <c r="AE300" s="75"/>
      <c r="AF300" s="75"/>
      <c r="AG300" s="75"/>
      <c r="AH300" s="75"/>
      <c r="AI300" s="75"/>
      <c r="AJ300" s="81"/>
      <c r="AK300" s="75"/>
      <c r="AL300" s="75"/>
    </row>
    <row r="301" spans="1:38" ht="15.75" hidden="1" thickBot="1" x14ac:dyDescent="0.3">
      <c r="A301" s="75"/>
      <c r="B301" s="75"/>
      <c r="C301" s="35">
        <f>INDEX(Données!$F$2:$L$54,MATCH(F301,Données!$F$2:$F$54,0),2)</f>
        <v>44165</v>
      </c>
      <c r="D301" s="29" t="str">
        <f t="shared" si="8"/>
        <v>#2</v>
      </c>
      <c r="E301" s="7">
        <f>Données!L50</f>
        <v>44170</v>
      </c>
      <c r="F301" s="6" t="str">
        <f>INDEX(Données!$F$2:$L$54,MATCH('#2'!E301,Données!$G$2:$G$54,1),1)</f>
        <v>49</v>
      </c>
      <c r="G301" s="18" t="str">
        <f t="shared" si="9"/>
        <v>PS-2</v>
      </c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1"/>
      <c r="W301" s="75"/>
      <c r="X301" s="75"/>
      <c r="Y301" s="75"/>
      <c r="Z301" s="96">
        <f>SUM(Tableau14[[#This Row],[A-1]:[G-5]])</f>
        <v>0</v>
      </c>
      <c r="AA301" s="96" t="str">
        <f>IF(AND(Z301&gt;0,Tableau14[[#This Row],[CDS]]=""),"Oui","Non")</f>
        <v>Non</v>
      </c>
      <c r="AB301" s="75"/>
      <c r="AC301" s="75"/>
      <c r="AD301" s="75"/>
      <c r="AE301" s="75"/>
      <c r="AF301" s="75"/>
      <c r="AG301" s="75"/>
      <c r="AH301" s="75"/>
      <c r="AI301" s="75"/>
      <c r="AJ301" s="81"/>
      <c r="AK301" s="75"/>
      <c r="AL301" s="75"/>
    </row>
    <row r="302" spans="1:38" ht="15.75" hidden="1" thickBot="1" x14ac:dyDescent="0.3">
      <c r="A302" s="75"/>
      <c r="B302" s="75"/>
      <c r="C302" s="35">
        <f>INDEX(Données!$F$2:$L$54,MATCH(F302,Données!$F$2:$F$54,0),2)</f>
        <v>44172</v>
      </c>
      <c r="D302" s="29" t="str">
        <f t="shared" si="8"/>
        <v>#2</v>
      </c>
      <c r="E302" s="7">
        <f>Données!G51</f>
        <v>44172</v>
      </c>
      <c r="F302" s="6" t="str">
        <f>INDEX(Données!$F$2:$L$54,MATCH('#2'!E302,Données!$G$2:$G$54,1),1)</f>
        <v>50</v>
      </c>
      <c r="G302" s="18" t="str">
        <f t="shared" si="9"/>
        <v>PS-2</v>
      </c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1"/>
      <c r="W302" s="75"/>
      <c r="X302" s="75"/>
      <c r="Y302" s="75"/>
      <c r="Z302" s="96">
        <f>SUM(Tableau14[[#This Row],[A-1]:[G-5]])</f>
        <v>0</v>
      </c>
      <c r="AA302" s="96" t="str">
        <f>IF(AND(Z302&gt;0,Tableau14[[#This Row],[CDS]]=""),"Oui","Non")</f>
        <v>Non</v>
      </c>
      <c r="AB302" s="75"/>
      <c r="AC302" s="75"/>
      <c r="AD302" s="75"/>
      <c r="AE302" s="75"/>
      <c r="AF302" s="75"/>
      <c r="AG302" s="75"/>
      <c r="AH302" s="75"/>
      <c r="AI302" s="75"/>
      <c r="AJ302" s="81"/>
      <c r="AK302" s="75"/>
      <c r="AL302" s="75"/>
    </row>
    <row r="303" spans="1:38" ht="15.75" hidden="1" thickBot="1" x14ac:dyDescent="0.3">
      <c r="A303" s="75"/>
      <c r="B303" s="75"/>
      <c r="C303" s="35">
        <f>INDEX(Données!$F$2:$L$54,MATCH(F303,Données!$F$2:$F$54,0),2)</f>
        <v>44172</v>
      </c>
      <c r="D303" s="29" t="str">
        <f t="shared" si="8"/>
        <v>#2</v>
      </c>
      <c r="E303" s="7">
        <f>Données!H51</f>
        <v>44173</v>
      </c>
      <c r="F303" s="6" t="str">
        <f>INDEX(Données!$F$2:$L$54,MATCH('#2'!E303,Données!$G$2:$G$54,1),1)</f>
        <v>50</v>
      </c>
      <c r="G303" s="18" t="str">
        <f t="shared" si="9"/>
        <v>PS-2</v>
      </c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1"/>
      <c r="W303" s="75"/>
      <c r="X303" s="75"/>
      <c r="Y303" s="75"/>
      <c r="Z303" s="96">
        <f>SUM(Tableau14[[#This Row],[A-1]:[G-5]])</f>
        <v>0</v>
      </c>
      <c r="AA303" s="96" t="str">
        <f>IF(AND(Z303&gt;0,Tableau14[[#This Row],[CDS]]=""),"Oui","Non")</f>
        <v>Non</v>
      </c>
      <c r="AB303" s="75"/>
      <c r="AC303" s="75"/>
      <c r="AD303" s="75"/>
      <c r="AE303" s="75"/>
      <c r="AF303" s="75"/>
      <c r="AG303" s="75"/>
      <c r="AH303" s="75"/>
      <c r="AI303" s="75"/>
      <c r="AJ303" s="81"/>
      <c r="AK303" s="75"/>
      <c r="AL303" s="75"/>
    </row>
    <row r="304" spans="1:38" ht="15.75" hidden="1" thickBot="1" x14ac:dyDescent="0.3">
      <c r="A304" s="75"/>
      <c r="B304" s="75"/>
      <c r="C304" s="35">
        <f>INDEX(Données!$F$2:$L$54,MATCH(F304,Données!$F$2:$F$54,0),2)</f>
        <v>44172</v>
      </c>
      <c r="D304" s="29" t="str">
        <f t="shared" si="8"/>
        <v>#2</v>
      </c>
      <c r="E304" s="7">
        <f>Données!I51</f>
        <v>44174</v>
      </c>
      <c r="F304" s="6" t="str">
        <f>INDEX(Données!$F$2:$L$54,MATCH('#2'!E304,Données!$G$2:$G$54,1),1)</f>
        <v>50</v>
      </c>
      <c r="G304" s="18" t="str">
        <f t="shared" si="9"/>
        <v>PS-2</v>
      </c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1"/>
      <c r="W304" s="75"/>
      <c r="X304" s="75"/>
      <c r="Y304" s="75"/>
      <c r="Z304" s="96">
        <f>SUM(Tableau14[[#This Row],[A-1]:[G-5]])</f>
        <v>0</v>
      </c>
      <c r="AA304" s="96" t="str">
        <f>IF(AND(Z304&gt;0,Tableau14[[#This Row],[CDS]]=""),"Oui","Non")</f>
        <v>Non</v>
      </c>
      <c r="AB304" s="75"/>
      <c r="AC304" s="75"/>
      <c r="AD304" s="75"/>
      <c r="AE304" s="75"/>
      <c r="AF304" s="75"/>
      <c r="AG304" s="75"/>
      <c r="AH304" s="75"/>
      <c r="AI304" s="75"/>
      <c r="AJ304" s="81"/>
      <c r="AK304" s="75"/>
      <c r="AL304" s="75"/>
    </row>
    <row r="305" spans="1:38" ht="15.75" hidden="1" thickBot="1" x14ac:dyDescent="0.3">
      <c r="A305" s="75"/>
      <c r="B305" s="75"/>
      <c r="C305" s="35">
        <f>INDEX(Données!$F$2:$L$54,MATCH(F305,Données!$F$2:$F$54,0),2)</f>
        <v>44172</v>
      </c>
      <c r="D305" s="29" t="str">
        <f t="shared" si="8"/>
        <v>#2</v>
      </c>
      <c r="E305" s="7">
        <f>Données!J51</f>
        <v>44175</v>
      </c>
      <c r="F305" s="6" t="str">
        <f>INDEX(Données!$F$2:$L$54,MATCH('#2'!E305,Données!$G$2:$G$54,1),1)</f>
        <v>50</v>
      </c>
      <c r="G305" s="18" t="str">
        <f t="shared" si="9"/>
        <v>PS-2</v>
      </c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1"/>
      <c r="W305" s="75"/>
      <c r="X305" s="75"/>
      <c r="Y305" s="75"/>
      <c r="Z305" s="96">
        <f>SUM(Tableau14[[#This Row],[A-1]:[G-5]])</f>
        <v>0</v>
      </c>
      <c r="AA305" s="96" t="str">
        <f>IF(AND(Z305&gt;0,Tableau14[[#This Row],[CDS]]=""),"Oui","Non")</f>
        <v>Non</v>
      </c>
      <c r="AB305" s="75"/>
      <c r="AC305" s="75"/>
      <c r="AD305" s="75"/>
      <c r="AE305" s="75"/>
      <c r="AF305" s="75"/>
      <c r="AG305" s="75"/>
      <c r="AH305" s="75"/>
      <c r="AI305" s="75"/>
      <c r="AJ305" s="81"/>
      <c r="AK305" s="75"/>
      <c r="AL305" s="75"/>
    </row>
    <row r="306" spans="1:38" ht="15.75" hidden="1" thickBot="1" x14ac:dyDescent="0.3">
      <c r="A306" s="75"/>
      <c r="B306" s="75"/>
      <c r="C306" s="35">
        <f>INDEX(Données!$F$2:$L$54,MATCH(F306,Données!$F$2:$F$54,0),2)</f>
        <v>44172</v>
      </c>
      <c r="D306" s="29" t="str">
        <f t="shared" si="8"/>
        <v>#2</v>
      </c>
      <c r="E306" s="7">
        <f>Données!K51</f>
        <v>44176</v>
      </c>
      <c r="F306" s="6" t="str">
        <f>INDEX(Données!$F$2:$L$54,MATCH('#2'!E306,Données!$G$2:$G$54,1),1)</f>
        <v>50</v>
      </c>
      <c r="G306" s="18" t="str">
        <f t="shared" si="9"/>
        <v>PS-2</v>
      </c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1"/>
      <c r="W306" s="75"/>
      <c r="X306" s="75"/>
      <c r="Y306" s="75"/>
      <c r="Z306" s="96">
        <f>SUM(Tableau14[[#This Row],[A-1]:[G-5]])</f>
        <v>0</v>
      </c>
      <c r="AA306" s="96" t="str">
        <f>IF(AND(Z306&gt;0,Tableau14[[#This Row],[CDS]]=""),"Oui","Non")</f>
        <v>Non</v>
      </c>
      <c r="AB306" s="75"/>
      <c r="AC306" s="75"/>
      <c r="AD306" s="75"/>
      <c r="AE306" s="75"/>
      <c r="AF306" s="75"/>
      <c r="AG306" s="75"/>
      <c r="AH306" s="75"/>
      <c r="AI306" s="75"/>
      <c r="AJ306" s="81"/>
      <c r="AK306" s="75"/>
      <c r="AL306" s="75"/>
    </row>
    <row r="307" spans="1:38" ht="15.75" hidden="1" thickBot="1" x14ac:dyDescent="0.3">
      <c r="A307" s="75"/>
      <c r="B307" s="75"/>
      <c r="C307" s="35">
        <f>INDEX(Données!$F$2:$L$54,MATCH(F307,Données!$F$2:$F$54,0),2)</f>
        <v>44172</v>
      </c>
      <c r="D307" s="29" t="str">
        <f t="shared" si="8"/>
        <v>#2</v>
      </c>
      <c r="E307" s="7">
        <f>Données!L51</f>
        <v>44177</v>
      </c>
      <c r="F307" s="6" t="str">
        <f>INDEX(Données!$F$2:$L$54,MATCH('#2'!E307,Données!$G$2:$G$54,1),1)</f>
        <v>50</v>
      </c>
      <c r="G307" s="18" t="str">
        <f t="shared" si="9"/>
        <v>PS-2</v>
      </c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1"/>
      <c r="W307" s="75"/>
      <c r="X307" s="75"/>
      <c r="Y307" s="75"/>
      <c r="Z307" s="96">
        <f>SUM(Tableau14[[#This Row],[A-1]:[G-5]])</f>
        <v>0</v>
      </c>
      <c r="AA307" s="96" t="str">
        <f>IF(AND(Z307&gt;0,Tableau14[[#This Row],[CDS]]=""),"Oui","Non")</f>
        <v>Non</v>
      </c>
      <c r="AB307" s="75"/>
      <c r="AC307" s="75"/>
      <c r="AD307" s="75"/>
      <c r="AE307" s="75"/>
      <c r="AF307" s="75"/>
      <c r="AG307" s="75"/>
      <c r="AH307" s="75"/>
      <c r="AI307" s="75"/>
      <c r="AJ307" s="81"/>
      <c r="AK307" s="75"/>
      <c r="AL307" s="75"/>
    </row>
    <row r="308" spans="1:38" ht="15.75" hidden="1" thickBot="1" x14ac:dyDescent="0.3">
      <c r="A308" s="75"/>
      <c r="B308" s="75"/>
      <c r="C308" s="35">
        <f>INDEX(Données!$F$2:$L$54,MATCH(F308,Données!$F$2:$F$54,0),2)</f>
        <v>44179</v>
      </c>
      <c r="D308" s="29" t="str">
        <f t="shared" si="8"/>
        <v>#2</v>
      </c>
      <c r="E308" s="7">
        <f>Données!G52</f>
        <v>44179</v>
      </c>
      <c r="F308" s="6" t="str">
        <f>INDEX(Données!$F$2:$L$54,MATCH('#2'!E308,Données!$G$2:$G$54,1),1)</f>
        <v>51</v>
      </c>
      <c r="G308" s="18" t="str">
        <f t="shared" si="9"/>
        <v>PS-2</v>
      </c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1"/>
      <c r="W308" s="75"/>
      <c r="X308" s="75"/>
      <c r="Y308" s="75"/>
      <c r="Z308" s="96">
        <f>SUM(Tableau14[[#This Row],[A-1]:[G-5]])</f>
        <v>0</v>
      </c>
      <c r="AA308" s="96" t="str">
        <f>IF(AND(Z308&gt;0,Tableau14[[#This Row],[CDS]]=""),"Oui","Non")</f>
        <v>Non</v>
      </c>
      <c r="AB308" s="75"/>
      <c r="AC308" s="75"/>
      <c r="AD308" s="75"/>
      <c r="AE308" s="75"/>
      <c r="AF308" s="75"/>
      <c r="AG308" s="75"/>
      <c r="AH308" s="75"/>
      <c r="AI308" s="75"/>
      <c r="AJ308" s="81"/>
      <c r="AK308" s="75"/>
      <c r="AL308" s="75"/>
    </row>
    <row r="309" spans="1:38" ht="15.75" hidden="1" thickBot="1" x14ac:dyDescent="0.3">
      <c r="A309" s="75"/>
      <c r="B309" s="75"/>
      <c r="C309" s="35">
        <f>INDEX(Données!$F$2:$L$54,MATCH(F309,Données!$F$2:$F$54,0),2)</f>
        <v>44179</v>
      </c>
      <c r="D309" s="29" t="str">
        <f t="shared" si="8"/>
        <v>#2</v>
      </c>
      <c r="E309" s="7">
        <f>Données!H52</f>
        <v>44180</v>
      </c>
      <c r="F309" s="6" t="str">
        <f>INDEX(Données!$F$2:$L$54,MATCH('#2'!E309,Données!$G$2:$G$54,1),1)</f>
        <v>51</v>
      </c>
      <c r="G309" s="18" t="str">
        <f t="shared" si="9"/>
        <v>PS-2</v>
      </c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1"/>
      <c r="W309" s="75"/>
      <c r="X309" s="75"/>
      <c r="Y309" s="75"/>
      <c r="Z309" s="96">
        <f>SUM(Tableau14[[#This Row],[A-1]:[G-5]])</f>
        <v>0</v>
      </c>
      <c r="AA309" s="96" t="str">
        <f>IF(AND(Z309&gt;0,Tableau14[[#This Row],[CDS]]=""),"Oui","Non")</f>
        <v>Non</v>
      </c>
      <c r="AB309" s="75"/>
      <c r="AC309" s="75"/>
      <c r="AD309" s="75"/>
      <c r="AE309" s="75"/>
      <c r="AF309" s="75"/>
      <c r="AG309" s="75"/>
      <c r="AH309" s="75"/>
      <c r="AI309" s="75"/>
      <c r="AJ309" s="81"/>
      <c r="AK309" s="75"/>
      <c r="AL309" s="75"/>
    </row>
    <row r="310" spans="1:38" ht="15.75" hidden="1" thickBot="1" x14ac:dyDescent="0.3">
      <c r="A310" s="75"/>
      <c r="B310" s="75"/>
      <c r="C310" s="35">
        <f>INDEX(Données!$F$2:$L$54,MATCH(F310,Données!$F$2:$F$54,0),2)</f>
        <v>44179</v>
      </c>
      <c r="D310" s="29" t="str">
        <f t="shared" si="8"/>
        <v>#2</v>
      </c>
      <c r="E310" s="7">
        <f>Données!I52</f>
        <v>44181</v>
      </c>
      <c r="F310" s="6" t="str">
        <f>INDEX(Données!$F$2:$L$54,MATCH('#2'!E310,Données!$G$2:$G$54,1),1)</f>
        <v>51</v>
      </c>
      <c r="G310" s="18" t="str">
        <f t="shared" si="9"/>
        <v>PS-2</v>
      </c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1"/>
      <c r="W310" s="75"/>
      <c r="X310" s="75"/>
      <c r="Y310" s="75"/>
      <c r="Z310" s="96">
        <f>SUM(Tableau14[[#This Row],[A-1]:[G-5]])</f>
        <v>0</v>
      </c>
      <c r="AA310" s="96" t="str">
        <f>IF(AND(Z310&gt;0,Tableau14[[#This Row],[CDS]]=""),"Oui","Non")</f>
        <v>Non</v>
      </c>
      <c r="AB310" s="75"/>
      <c r="AC310" s="75"/>
      <c r="AD310" s="75"/>
      <c r="AE310" s="75"/>
      <c r="AF310" s="75"/>
      <c r="AG310" s="75"/>
      <c r="AH310" s="75"/>
      <c r="AI310" s="75"/>
      <c r="AJ310" s="81"/>
      <c r="AK310" s="75"/>
      <c r="AL310" s="75"/>
    </row>
    <row r="311" spans="1:38" ht="15.75" hidden="1" thickBot="1" x14ac:dyDescent="0.3">
      <c r="A311" s="75"/>
      <c r="B311" s="75"/>
      <c r="C311" s="35">
        <f>INDEX(Données!$F$2:$L$54,MATCH(F311,Données!$F$2:$F$54,0),2)</f>
        <v>44179</v>
      </c>
      <c r="D311" s="29" t="str">
        <f t="shared" si="8"/>
        <v>#2</v>
      </c>
      <c r="E311" s="7">
        <f>Données!J52</f>
        <v>44182</v>
      </c>
      <c r="F311" s="6" t="str">
        <f>INDEX(Données!$F$2:$L$54,MATCH('#2'!E311,Données!$G$2:$G$54,1),1)</f>
        <v>51</v>
      </c>
      <c r="G311" s="18" t="str">
        <f t="shared" si="9"/>
        <v>PS-2</v>
      </c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1"/>
      <c r="W311" s="75"/>
      <c r="X311" s="75"/>
      <c r="Y311" s="75"/>
      <c r="Z311" s="96">
        <f>SUM(Tableau14[[#This Row],[A-1]:[G-5]])</f>
        <v>0</v>
      </c>
      <c r="AA311" s="96" t="str">
        <f>IF(AND(Z311&gt;0,Tableau14[[#This Row],[CDS]]=""),"Oui","Non")</f>
        <v>Non</v>
      </c>
      <c r="AB311" s="75"/>
      <c r="AC311" s="75"/>
      <c r="AD311" s="75"/>
      <c r="AE311" s="75"/>
      <c r="AF311" s="75"/>
      <c r="AG311" s="75"/>
      <c r="AH311" s="75"/>
      <c r="AI311" s="75"/>
      <c r="AJ311" s="81"/>
      <c r="AK311" s="75"/>
      <c r="AL311" s="75"/>
    </row>
    <row r="312" spans="1:38" ht="15.75" hidden="1" thickBot="1" x14ac:dyDescent="0.3">
      <c r="A312" s="75"/>
      <c r="B312" s="75"/>
      <c r="C312" s="35">
        <f>INDEX(Données!$F$2:$L$54,MATCH(F312,Données!$F$2:$F$54,0),2)</f>
        <v>44179</v>
      </c>
      <c r="D312" s="29" t="str">
        <f t="shared" si="8"/>
        <v>#2</v>
      </c>
      <c r="E312" s="7">
        <f>Données!K52</f>
        <v>44183</v>
      </c>
      <c r="F312" s="6" t="str">
        <f>INDEX(Données!$F$2:$L$54,MATCH('#2'!E312,Données!$G$2:$G$54,1),1)</f>
        <v>51</v>
      </c>
      <c r="G312" s="18" t="str">
        <f t="shared" si="9"/>
        <v>PS-2</v>
      </c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1"/>
      <c r="W312" s="75"/>
      <c r="X312" s="75"/>
      <c r="Y312" s="75"/>
      <c r="Z312" s="96">
        <f>SUM(Tableau14[[#This Row],[A-1]:[G-5]])</f>
        <v>0</v>
      </c>
      <c r="AA312" s="96" t="str">
        <f>IF(AND(Z312&gt;0,Tableau14[[#This Row],[CDS]]=""),"Oui","Non")</f>
        <v>Non</v>
      </c>
      <c r="AB312" s="75"/>
      <c r="AC312" s="75"/>
      <c r="AD312" s="75"/>
      <c r="AE312" s="75"/>
      <c r="AF312" s="75"/>
      <c r="AG312" s="75"/>
      <c r="AH312" s="75"/>
      <c r="AI312" s="75"/>
      <c r="AJ312" s="81"/>
      <c r="AK312" s="75"/>
      <c r="AL312" s="75"/>
    </row>
    <row r="313" spans="1:38" ht="15.75" hidden="1" thickBot="1" x14ac:dyDescent="0.3">
      <c r="A313" s="75"/>
      <c r="B313" s="75"/>
      <c r="C313" s="35">
        <f>INDEX(Données!$F$2:$L$54,MATCH(F313,Données!$F$2:$F$54,0),2)</f>
        <v>44179</v>
      </c>
      <c r="D313" s="29" t="str">
        <f t="shared" si="8"/>
        <v>#2</v>
      </c>
      <c r="E313" s="7">
        <f>Données!L52</f>
        <v>44184</v>
      </c>
      <c r="F313" s="6" t="str">
        <f>INDEX(Données!$F$2:$L$54,MATCH('#2'!E313,Données!$G$2:$G$54,1),1)</f>
        <v>51</v>
      </c>
      <c r="G313" s="18" t="str">
        <f>IF(AND($V$5=1),"PS-1",IF(AND($V$5=2),"PS-2",IF(AND($V$5=4),"PS-4",IF(AND($V$5=6),"S.O.",IF(AND($V$5=5),"")))))</f>
        <v>PS-2</v>
      </c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1"/>
      <c r="W313" s="75"/>
      <c r="X313" s="75"/>
      <c r="Y313" s="75"/>
      <c r="Z313" s="96">
        <f>SUM(Tableau14[[#This Row],[A-1]:[G-5]])</f>
        <v>0</v>
      </c>
      <c r="AA313" s="96" t="str">
        <f>IF(AND(Z313&gt;0,Tableau14[[#This Row],[CDS]]=""),"Oui","Non")</f>
        <v>Non</v>
      </c>
      <c r="AB313" s="75"/>
      <c r="AC313" s="75"/>
      <c r="AD313" s="75"/>
      <c r="AE313" s="75"/>
      <c r="AF313" s="75"/>
      <c r="AG313" s="75"/>
      <c r="AH313" s="75"/>
      <c r="AI313" s="75"/>
      <c r="AJ313" s="81"/>
      <c r="AK313" s="75"/>
      <c r="AL313" s="75"/>
    </row>
    <row r="314" spans="1:38" ht="15.75" hidden="1" thickBot="1" x14ac:dyDescent="0.3">
      <c r="A314" s="75"/>
      <c r="B314" s="75"/>
      <c r="C314" s="35">
        <f>INDEX(Données!$F$2:$L$54,MATCH(F314,Données!$F$2:$F$54,0),2)</f>
        <v>44186</v>
      </c>
      <c r="D314" s="29" t="str">
        <f t="shared" si="8"/>
        <v>#2</v>
      </c>
      <c r="E314" s="7">
        <f>Données!G53</f>
        <v>44186</v>
      </c>
      <c r="F314" s="6" t="str">
        <f>INDEX(Données!$F$2:$L$54,MATCH('#2'!E314,Données!$G$2:$G$54,1),1)</f>
        <v>52</v>
      </c>
      <c r="G314" s="18" t="str">
        <f t="shared" si="9"/>
        <v>PS-2</v>
      </c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1"/>
      <c r="W314" s="75"/>
      <c r="X314" s="75"/>
      <c r="Y314" s="75"/>
      <c r="Z314" s="96">
        <f>SUM(Tableau14[[#This Row],[A-1]:[G-5]])</f>
        <v>0</v>
      </c>
      <c r="AA314" s="96" t="str">
        <f>IF(AND(Z314&gt;0,Tableau14[[#This Row],[CDS]]=""),"Oui","Non")</f>
        <v>Non</v>
      </c>
      <c r="AB314" s="75"/>
      <c r="AC314" s="75"/>
      <c r="AD314" s="75"/>
      <c r="AE314" s="75"/>
      <c r="AF314" s="75"/>
      <c r="AG314" s="75"/>
      <c r="AH314" s="75"/>
      <c r="AI314" s="75"/>
      <c r="AJ314" s="81"/>
      <c r="AK314" s="75"/>
      <c r="AL314" s="75"/>
    </row>
    <row r="315" spans="1:38" ht="15.75" hidden="1" thickBot="1" x14ac:dyDescent="0.3">
      <c r="A315" s="75"/>
      <c r="B315" s="75"/>
      <c r="C315" s="35">
        <f>INDEX(Données!$F$2:$L$54,MATCH(F315,Données!$F$2:$F$54,0),2)</f>
        <v>44186</v>
      </c>
      <c r="D315" s="29" t="str">
        <f t="shared" si="8"/>
        <v>#2</v>
      </c>
      <c r="E315" s="7">
        <f>Données!H53</f>
        <v>44187</v>
      </c>
      <c r="F315" s="6" t="str">
        <f>INDEX(Données!$F$2:$L$54,MATCH('#2'!E315,Données!$G$2:$G$54,1),1)</f>
        <v>52</v>
      </c>
      <c r="G315" s="18" t="str">
        <f t="shared" si="9"/>
        <v>PS-2</v>
      </c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1"/>
      <c r="W315" s="75"/>
      <c r="X315" s="75"/>
      <c r="Y315" s="75"/>
      <c r="Z315" s="96">
        <f>SUM(Tableau14[[#This Row],[A-1]:[G-5]])</f>
        <v>0</v>
      </c>
      <c r="AA315" s="96" t="str">
        <f>IF(AND(Z315&gt;0,Tableau14[[#This Row],[CDS]]=""),"Oui","Non")</f>
        <v>Non</v>
      </c>
      <c r="AB315" s="75"/>
      <c r="AC315" s="75"/>
      <c r="AD315" s="75"/>
      <c r="AE315" s="75"/>
      <c r="AF315" s="75"/>
      <c r="AG315" s="75"/>
      <c r="AH315" s="75"/>
      <c r="AI315" s="75"/>
      <c r="AJ315" s="81"/>
      <c r="AK315" s="75"/>
      <c r="AL315" s="75"/>
    </row>
    <row r="316" spans="1:38" ht="15.75" hidden="1" thickBot="1" x14ac:dyDescent="0.3">
      <c r="A316" s="75"/>
      <c r="B316" s="75"/>
      <c r="C316" s="35">
        <f>INDEX(Données!$F$2:$L$54,MATCH(F316,Données!$F$2:$F$54,0),2)</f>
        <v>44186</v>
      </c>
      <c r="D316" s="29" t="str">
        <f t="shared" si="8"/>
        <v>#2</v>
      </c>
      <c r="E316" s="7">
        <f>Données!I53</f>
        <v>44188</v>
      </c>
      <c r="F316" s="6" t="str">
        <f>INDEX(Données!$F$2:$L$54,MATCH('#2'!E316,Données!$G$2:$G$54,1),1)</f>
        <v>52</v>
      </c>
      <c r="G316" s="18" t="str">
        <f t="shared" si="9"/>
        <v>PS-2</v>
      </c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1"/>
      <c r="W316" s="75"/>
      <c r="X316" s="75"/>
      <c r="Y316" s="75"/>
      <c r="Z316" s="96">
        <f>SUM(Tableau14[[#This Row],[A-1]:[G-5]])</f>
        <v>0</v>
      </c>
      <c r="AA316" s="96" t="str">
        <f>IF(AND(Z316&gt;0,Tableau14[[#This Row],[CDS]]=""),"Oui","Non")</f>
        <v>Non</v>
      </c>
      <c r="AB316" s="75"/>
      <c r="AC316" s="75"/>
      <c r="AD316" s="75"/>
      <c r="AE316" s="75"/>
      <c r="AF316" s="75"/>
      <c r="AG316" s="75"/>
      <c r="AH316" s="75"/>
      <c r="AI316" s="75"/>
      <c r="AJ316" s="81"/>
      <c r="AK316" s="75"/>
      <c r="AL316" s="75"/>
    </row>
    <row r="317" spans="1:38" ht="15.75" hidden="1" thickBot="1" x14ac:dyDescent="0.3">
      <c r="A317" s="75"/>
      <c r="B317" s="75"/>
      <c r="C317" s="35">
        <f>INDEX(Données!$F$2:$L$54,MATCH(F317,Données!$F$2:$F$54,0),2)</f>
        <v>44186</v>
      </c>
      <c r="D317" s="29" t="str">
        <f t="shared" si="8"/>
        <v>#2</v>
      </c>
      <c r="E317" s="7">
        <f>Données!J53</f>
        <v>44189</v>
      </c>
      <c r="F317" s="6" t="str">
        <f>INDEX(Données!$F$2:$L$54,MATCH('#2'!E317,Données!$G$2:$G$54,1),1)</f>
        <v>52</v>
      </c>
      <c r="G317" s="18" t="str">
        <f t="shared" si="9"/>
        <v>PS-2</v>
      </c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1"/>
      <c r="W317" s="75"/>
      <c r="X317" s="75"/>
      <c r="Y317" s="75"/>
      <c r="Z317" s="96">
        <f>SUM(Tableau14[[#This Row],[A-1]:[G-5]])</f>
        <v>0</v>
      </c>
      <c r="AA317" s="96" t="str">
        <f>IF(AND(Z317&gt;0,Tableau14[[#This Row],[CDS]]=""),"Oui","Non")</f>
        <v>Non</v>
      </c>
      <c r="AB317" s="75"/>
      <c r="AC317" s="75"/>
      <c r="AD317" s="75"/>
      <c r="AE317" s="75"/>
      <c r="AF317" s="75"/>
      <c r="AG317" s="75"/>
      <c r="AH317" s="75"/>
      <c r="AI317" s="75"/>
      <c r="AJ317" s="81"/>
      <c r="AK317" s="75"/>
      <c r="AL317" s="75"/>
    </row>
    <row r="318" spans="1:38" ht="15.75" hidden="1" thickBot="1" x14ac:dyDescent="0.3">
      <c r="A318" s="75"/>
      <c r="B318" s="75"/>
      <c r="C318" s="35">
        <f>INDEX(Données!$F$2:$L$54,MATCH(F318,Données!$F$2:$F$54,0),2)</f>
        <v>44186</v>
      </c>
      <c r="D318" s="29" t="str">
        <f t="shared" si="8"/>
        <v>#2</v>
      </c>
      <c r="E318" s="7">
        <f>Données!K53</f>
        <v>44190</v>
      </c>
      <c r="F318" s="6" t="str">
        <f>INDEX(Données!$F$2:$L$54,MATCH('#2'!E318,Données!$G$2:$G$54,1),1)</f>
        <v>52</v>
      </c>
      <c r="G318" s="18" t="str">
        <f t="shared" si="9"/>
        <v>PS-2</v>
      </c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1"/>
      <c r="W318" s="75"/>
      <c r="X318" s="75"/>
      <c r="Y318" s="75"/>
      <c r="Z318" s="96">
        <f>SUM(Tableau14[[#This Row],[A-1]:[G-5]])</f>
        <v>0</v>
      </c>
      <c r="AA318" s="96" t="str">
        <f>IF(AND(Z318&gt;0,Tableau14[[#This Row],[CDS]]=""),"Oui","Non")</f>
        <v>Non</v>
      </c>
      <c r="AB318" s="75"/>
      <c r="AC318" s="75"/>
      <c r="AD318" s="75"/>
      <c r="AE318" s="75"/>
      <c r="AF318" s="75"/>
      <c r="AG318" s="75"/>
      <c r="AH318" s="75"/>
      <c r="AI318" s="75"/>
      <c r="AJ318" s="81"/>
      <c r="AK318" s="75"/>
      <c r="AL318" s="75"/>
    </row>
    <row r="319" spans="1:38" ht="15.75" hidden="1" thickBot="1" x14ac:dyDescent="0.3">
      <c r="A319" s="75"/>
      <c r="B319" s="75"/>
      <c r="C319" s="35">
        <f>INDEX(Données!$F$2:$L$54,MATCH(F319,Données!$F$2:$F$54,0),2)</f>
        <v>44186</v>
      </c>
      <c r="D319" s="29" t="str">
        <f t="shared" si="8"/>
        <v>#2</v>
      </c>
      <c r="E319" s="7">
        <f>Données!L53</f>
        <v>44191</v>
      </c>
      <c r="F319" s="6" t="str">
        <f>INDEX(Données!$F$2:$L$54,MATCH('#2'!E319,Données!$G$2:$G$54,1),1)</f>
        <v>52</v>
      </c>
      <c r="G319" s="18" t="str">
        <f t="shared" si="9"/>
        <v>PS-2</v>
      </c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1"/>
      <c r="W319" s="75"/>
      <c r="X319" s="75"/>
      <c r="Y319" s="75"/>
      <c r="Z319" s="96">
        <f>SUM(Tableau14[[#This Row],[A-1]:[G-5]])</f>
        <v>0</v>
      </c>
      <c r="AA319" s="96" t="str">
        <f>IF(AND(Z319&gt;0,Tableau14[[#This Row],[CDS]]=""),"Oui","Non")</f>
        <v>Non</v>
      </c>
      <c r="AB319" s="75"/>
      <c r="AC319" s="75"/>
      <c r="AD319" s="75"/>
      <c r="AE319" s="75"/>
      <c r="AF319" s="75"/>
      <c r="AG319" s="75"/>
      <c r="AH319" s="75"/>
      <c r="AI319" s="75"/>
      <c r="AJ319" s="81"/>
      <c r="AK319" s="75"/>
      <c r="AL319" s="75"/>
    </row>
    <row r="320" spans="1:38" ht="15.75" hidden="1" thickBot="1" x14ac:dyDescent="0.3">
      <c r="A320" s="75"/>
      <c r="B320" s="75"/>
      <c r="C320" s="35">
        <f>INDEX(Données!$F$2:$L$54,MATCH(F320,Données!$F$2:$F$54,0),2)</f>
        <v>44193</v>
      </c>
      <c r="D320" s="29" t="str">
        <f t="shared" si="8"/>
        <v>#2</v>
      </c>
      <c r="E320" s="7">
        <f>Données!G54</f>
        <v>44193</v>
      </c>
      <c r="F320" s="6" t="str">
        <f>INDEX(Données!$F$2:$L$54,MATCH('#2'!E320,Données!$G$2:$G$54,1),1)</f>
        <v>53</v>
      </c>
      <c r="G320" s="18" t="str">
        <f t="shared" si="9"/>
        <v>PS-2</v>
      </c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1"/>
      <c r="W320" s="75"/>
      <c r="X320" s="75"/>
      <c r="Y320" s="75"/>
      <c r="Z320" s="96">
        <f>SUM(Tableau14[[#This Row],[A-1]:[G-5]])</f>
        <v>0</v>
      </c>
      <c r="AA320" s="96" t="str">
        <f>IF(AND(Z320&gt;0,Tableau14[[#This Row],[CDS]]=""),"Oui","Non")</f>
        <v>Non</v>
      </c>
      <c r="AB320" s="75"/>
      <c r="AC320" s="75"/>
      <c r="AD320" s="75"/>
      <c r="AE320" s="75"/>
      <c r="AF320" s="75"/>
      <c r="AG320" s="75"/>
      <c r="AH320" s="75"/>
      <c r="AI320" s="75"/>
      <c r="AJ320" s="81"/>
      <c r="AK320" s="75"/>
      <c r="AL320" s="75"/>
    </row>
    <row r="321" spans="1:38" ht="15.75" hidden="1" thickBot="1" x14ac:dyDescent="0.3">
      <c r="A321" s="75"/>
      <c r="B321" s="75"/>
      <c r="C321" s="35">
        <f>INDEX(Données!$F$2:$L$54,MATCH(F321,Données!$F$2:$F$54,0),2)</f>
        <v>44193</v>
      </c>
      <c r="D321" s="29" t="str">
        <f t="shared" si="8"/>
        <v>#2</v>
      </c>
      <c r="E321" s="7">
        <f>Données!H54</f>
        <v>44194</v>
      </c>
      <c r="F321" s="6" t="str">
        <f>INDEX(Données!$F$2:$L$54,MATCH('#2'!E321,Données!$G$2:$G$54,1),1)</f>
        <v>53</v>
      </c>
      <c r="G321" s="18" t="str">
        <f>IF(AND($V$5=1),"PS-1",IF(AND($V$5=2),"PS-2",IF(AND($V$5=4),"PS-4",IF(AND($V$5=6),"S.O.",IF(AND($V$5=5),"")))))</f>
        <v>PS-2</v>
      </c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1"/>
      <c r="W321" s="75"/>
      <c r="X321" s="75"/>
      <c r="Y321" s="75"/>
      <c r="Z321" s="96">
        <f>SUM(Tableau14[[#This Row],[A-1]:[G-5]])</f>
        <v>0</v>
      </c>
      <c r="AA321" s="96" t="str">
        <f>IF(AND(Z321&gt;0,Tableau14[[#This Row],[CDS]]=""),"Oui","Non")</f>
        <v>Non</v>
      </c>
      <c r="AB321" s="75"/>
      <c r="AC321" s="75"/>
      <c r="AD321" s="75"/>
      <c r="AE321" s="75"/>
      <c r="AF321" s="75"/>
      <c r="AG321" s="75"/>
      <c r="AH321" s="75"/>
      <c r="AI321" s="75"/>
      <c r="AJ321" s="81"/>
      <c r="AK321" s="75"/>
      <c r="AL321" s="75"/>
    </row>
    <row r="322" spans="1:38" ht="15.75" hidden="1" thickBot="1" x14ac:dyDescent="0.3">
      <c r="A322" s="75"/>
      <c r="B322" s="75"/>
      <c r="C322" s="35">
        <f>INDEX(Données!$F$2:$L$54,MATCH(F322,Données!$F$2:$F$54,0),2)</f>
        <v>44193</v>
      </c>
      <c r="D322" s="29" t="str">
        <f t="shared" si="8"/>
        <v>#2</v>
      </c>
      <c r="E322" s="7">
        <f>Données!I54</f>
        <v>44195</v>
      </c>
      <c r="F322" s="6" t="str">
        <f>INDEX(Données!$F$2:$L$54,MATCH('#2'!E322,Données!$G$2:$G$54,1),1)</f>
        <v>53</v>
      </c>
      <c r="G322" s="18" t="str">
        <f t="shared" si="9"/>
        <v>PS-2</v>
      </c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1"/>
      <c r="W322" s="75"/>
      <c r="X322" s="75"/>
      <c r="Y322" s="75"/>
      <c r="Z322" s="96">
        <f>SUM(Tableau14[[#This Row],[A-1]:[G-5]])</f>
        <v>0</v>
      </c>
      <c r="AA322" s="96" t="str">
        <f>IF(AND(Z322&gt;0,Tableau14[[#This Row],[CDS]]=""),"Oui","Non")</f>
        <v>Non</v>
      </c>
      <c r="AB322" s="75"/>
      <c r="AC322" s="75"/>
      <c r="AD322" s="75"/>
      <c r="AE322" s="75"/>
      <c r="AF322" s="75"/>
      <c r="AG322" s="75"/>
      <c r="AH322" s="75"/>
      <c r="AI322" s="75"/>
      <c r="AJ322" s="81"/>
      <c r="AK322" s="75"/>
      <c r="AL322" s="75"/>
    </row>
    <row r="323" spans="1:38" ht="15.75" hidden="1" thickBot="1" x14ac:dyDescent="0.3">
      <c r="A323" s="75"/>
      <c r="B323" s="75"/>
      <c r="C323" s="35">
        <f>INDEX(Données!$F$2:$L$54,MATCH(F323,Données!$F$2:$F$54,0),2)</f>
        <v>44193</v>
      </c>
      <c r="D323" s="29" t="str">
        <f t="shared" si="8"/>
        <v>#2</v>
      </c>
      <c r="E323" s="7">
        <f>Données!J54</f>
        <v>44196</v>
      </c>
      <c r="F323" s="6" t="str">
        <f>INDEX(Données!$F$2:$L$54,MATCH('#2'!E323,Données!$G$2:$G$54,1),1)</f>
        <v>53</v>
      </c>
      <c r="G323" s="18" t="str">
        <f t="shared" si="9"/>
        <v>PS-2</v>
      </c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1"/>
      <c r="W323" s="75"/>
      <c r="X323" s="75"/>
      <c r="Y323" s="75"/>
      <c r="Z323" s="96">
        <f>SUM(Tableau14[[#This Row],[A-1]:[G-5]])</f>
        <v>0</v>
      </c>
      <c r="AA323" s="96" t="str">
        <f>IF(AND(Z323&gt;0,Tableau14[[#This Row],[CDS]]=""),"Oui","Non")</f>
        <v>Non</v>
      </c>
      <c r="AB323" s="75"/>
      <c r="AC323" s="75"/>
      <c r="AD323" s="75"/>
      <c r="AE323" s="75"/>
      <c r="AF323" s="75"/>
      <c r="AG323" s="75"/>
      <c r="AH323" s="75"/>
      <c r="AI323" s="75"/>
      <c r="AJ323" s="81"/>
      <c r="AK323" s="75"/>
      <c r="AL323" s="75"/>
    </row>
    <row r="324" spans="1:38" ht="15.75" hidden="1" thickBot="1" x14ac:dyDescent="0.3">
      <c r="A324" s="75"/>
      <c r="B324" s="75"/>
      <c r="C324" s="35">
        <f>INDEX(Données!$F$2:$L$54,MATCH(F324,Données!$F$2:$F$54,0),2)</f>
        <v>44193</v>
      </c>
      <c r="D324" s="29" t="str">
        <f t="shared" si="8"/>
        <v>#2</v>
      </c>
      <c r="E324" s="7">
        <f>Données!K54</f>
        <v>44197</v>
      </c>
      <c r="F324" s="6" t="str">
        <f>INDEX(Données!$F$2:$L$54,MATCH('#2'!E324,Données!$G$2:$G$54,1),1)</f>
        <v>53</v>
      </c>
      <c r="G324" s="18" t="str">
        <f t="shared" si="9"/>
        <v>PS-2</v>
      </c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1"/>
      <c r="W324" s="75"/>
      <c r="X324" s="75"/>
      <c r="Y324" s="75"/>
      <c r="Z324" s="96">
        <f>SUM(Tableau14[[#This Row],[A-1]:[G-5]])</f>
        <v>0</v>
      </c>
      <c r="AA324" s="96" t="str">
        <f>IF(AND(Z324&gt;0,Tableau14[[#This Row],[CDS]]=""),"Oui","Non")</f>
        <v>Non</v>
      </c>
      <c r="AB324" s="75"/>
      <c r="AC324" s="75"/>
      <c r="AD324" s="75"/>
      <c r="AE324" s="75"/>
      <c r="AF324" s="75"/>
      <c r="AG324" s="75"/>
      <c r="AH324" s="75"/>
      <c r="AI324" s="75"/>
      <c r="AJ324" s="81"/>
      <c r="AK324" s="75"/>
      <c r="AL324" s="75"/>
    </row>
    <row r="325" spans="1:38" ht="15.75" hidden="1" thickBot="1" x14ac:dyDescent="0.3">
      <c r="A325" s="75"/>
      <c r="B325" s="75"/>
      <c r="C325" s="35">
        <f>INDEX(Données!$F$2:$L$54,MATCH(F325,Données!$F$2:$F$54,0),2)</f>
        <v>44193</v>
      </c>
      <c r="D325" s="29" t="str">
        <f t="shared" si="8"/>
        <v>#2</v>
      </c>
      <c r="E325" s="8">
        <f>Données!L54</f>
        <v>44198</v>
      </c>
      <c r="F325" s="9" t="str">
        <f>INDEX(Données!$F$2:$L$54,MATCH('#2'!E325,Données!$G$2:$G$54,1),1)</f>
        <v>53</v>
      </c>
      <c r="G325" s="18" t="str">
        <f t="shared" si="9"/>
        <v>PS-2</v>
      </c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3"/>
      <c r="W325" s="75"/>
      <c r="X325" s="75"/>
      <c r="Y325" s="75"/>
      <c r="Z325" s="96">
        <f>SUM(Tableau14[[#This Row],[A-1]:[G-5]])</f>
        <v>0</v>
      </c>
      <c r="AA325" s="96" t="str">
        <f>IF(AND(Z325&gt;0,Tableau14[[#This Row],[CDS]]=""),"Oui","Non")</f>
        <v>Non</v>
      </c>
      <c r="AB325" s="75"/>
      <c r="AC325" s="75"/>
      <c r="AD325" s="75"/>
      <c r="AE325" s="75"/>
      <c r="AF325" s="75"/>
      <c r="AG325" s="75"/>
      <c r="AH325" s="75"/>
      <c r="AI325" s="75"/>
      <c r="AJ325" s="81"/>
      <c r="AK325" s="75"/>
      <c r="AL325" s="75"/>
    </row>
    <row r="326" spans="1:38" x14ac:dyDescent="0.25">
      <c r="A326" s="75"/>
      <c r="B326" s="75"/>
      <c r="C326" s="51"/>
      <c r="D326" s="31"/>
      <c r="E326" s="157" t="s">
        <v>84</v>
      </c>
      <c r="F326" s="158"/>
      <c r="G326" s="159"/>
      <c r="H326" s="11">
        <f>SUMIF(Tableau14[CDS],"S.O.",Tableau14[A-1])</f>
        <v>0</v>
      </c>
      <c r="I326" s="11">
        <f>SUMIF(Tableau14[CDS],"S.O.",Tableau14[B-1])</f>
        <v>0</v>
      </c>
      <c r="J326" s="11">
        <f>SUMIF(Tableau14[CDS],"S.O.",Tableau14[B-2])</f>
        <v>0</v>
      </c>
      <c r="K326" s="11">
        <f>SUMIF(Tableau14[CDS],"S.O.",Tableau14[C-1])</f>
        <v>0</v>
      </c>
      <c r="L326" s="11">
        <f>SUMIF(Tableau14[CDS],"S.O.",Tableau14[C-2])</f>
        <v>0</v>
      </c>
      <c r="M326" s="11">
        <f>SUMIF(Tableau14[CDS],"S.O.",Tableau14[D-1])</f>
        <v>0</v>
      </c>
      <c r="N326" s="11">
        <f>SUMIF(Tableau14[CDS],"S.O.",Tableau14[D-2])</f>
        <v>0</v>
      </c>
      <c r="O326" s="11">
        <f>SUMIF(Tableau14[CDS],"S.O.",Tableau14[E-1])</f>
        <v>0</v>
      </c>
      <c r="P326" s="11">
        <f>SUMIF(Tableau14[CDS],"S.O.",Tableau14[E2])</f>
        <v>0</v>
      </c>
      <c r="Q326" s="11">
        <f>SUMIF(Tableau14[CDS],"S.O.",Tableau14[G-1])</f>
        <v>0</v>
      </c>
      <c r="R326" s="11">
        <f>SUMIF(Tableau14[CDS],"S.O.",Tableau14[G-2])</f>
        <v>0</v>
      </c>
      <c r="S326" s="11">
        <f>SUMIF(Tableau14[CDS],"S.O.",Tableau14[G-3])</f>
        <v>0</v>
      </c>
      <c r="T326" s="11">
        <f>SUMIF(Tableau14[CDS],"S.O.",Tableau14[G-4])</f>
        <v>0</v>
      </c>
      <c r="U326" s="11">
        <f>SUMIF(Tableau14[CDS],"S.O.",Tableau14[G-5])</f>
        <v>0</v>
      </c>
      <c r="V326" s="52"/>
      <c r="W326" s="75"/>
      <c r="X326" s="75"/>
      <c r="Y326" s="75"/>
      <c r="Z326" s="96"/>
      <c r="AA326" s="96"/>
      <c r="AB326" s="75"/>
      <c r="AC326" s="75"/>
      <c r="AD326" s="75"/>
      <c r="AE326" s="75"/>
      <c r="AF326" s="75"/>
      <c r="AG326" s="75"/>
      <c r="AH326" s="75"/>
      <c r="AI326" s="75"/>
      <c r="AJ326" s="81"/>
      <c r="AK326" s="75"/>
      <c r="AL326" s="75"/>
    </row>
    <row r="327" spans="1:38" x14ac:dyDescent="0.25">
      <c r="A327" s="75"/>
      <c r="B327" s="75"/>
      <c r="C327" s="8"/>
      <c r="D327" s="30"/>
      <c r="E327" s="57" t="s">
        <v>121</v>
      </c>
      <c r="F327" s="53"/>
      <c r="G327" s="87"/>
      <c r="H327" s="148">
        <f>SUMIF(Tableau14[CDS],"PS-1",Tableau14[A-1])</f>
        <v>0</v>
      </c>
      <c r="I327" s="148">
        <f>SUMIF(Tableau14[CDS],"PS-1",Tableau14[B-1])</f>
        <v>0</v>
      </c>
      <c r="J327" s="148">
        <f>SUMIF(Tableau14[CDS],"PS-1",Tableau14[B-2])</f>
        <v>0</v>
      </c>
      <c r="K327" s="148">
        <f>SUMIF(Tableau14[CDS],"PS-1",Tableau14[C-1])</f>
        <v>0</v>
      </c>
      <c r="L327" s="148">
        <f>SUMIF(Tableau14[CDS],"PS-1",Tableau14[C-2])</f>
        <v>0</v>
      </c>
      <c r="M327" s="148">
        <f>SUMIF(Tableau14[CDS],"PS-1",Tableau14[D-1])</f>
        <v>0</v>
      </c>
      <c r="N327" s="148">
        <f>SUMIF(Tableau14[CDS],"PS-1",Tableau14[D-2])</f>
        <v>0</v>
      </c>
      <c r="O327" s="148">
        <f>SUMIF(Tableau14[CDS],"PS-1",Tableau14[E-1])</f>
        <v>0</v>
      </c>
      <c r="P327" s="148">
        <f>SUMIF(Tableau14[CDS],"PS-1",Tableau14[E2])</f>
        <v>0</v>
      </c>
      <c r="Q327" s="148">
        <f>SUMIF(Tableau14[CDS],"PS-1",Tableau14[G-1])</f>
        <v>0</v>
      </c>
      <c r="R327" s="148">
        <f>SUMIF(Tableau14[CDS],"PS-1",Tableau14[G-2])</f>
        <v>0</v>
      </c>
      <c r="S327" s="148">
        <f>SUMIF(Tableau14[CDS],"PS-1",Tableau14[G-3])</f>
        <v>0</v>
      </c>
      <c r="T327" s="148">
        <f>SUMIF(Tableau14[CDS],"PS-1",Tableau14[G-4])</f>
        <v>0</v>
      </c>
      <c r="U327" s="148">
        <f>SUMIF(Tableau14[CDS],"PS-1",Tableau14[G-5])</f>
        <v>0</v>
      </c>
      <c r="V327" s="90"/>
      <c r="W327" s="75"/>
      <c r="X327" s="75"/>
      <c r="Y327" s="75"/>
      <c r="Z327" s="96" t="e">
        <f>SUM(Tableau14[[#This Row],[A-1]:[G-5]])</f>
        <v>#VALUE!</v>
      </c>
      <c r="AA327" s="96" t="e">
        <f>IF(AND(Z327&lt;0,Tableau14[[#This Row],[CDS]]=""),"Oui","Non")</f>
        <v>#VALUE!</v>
      </c>
      <c r="AB327" s="75"/>
      <c r="AC327" s="75"/>
      <c r="AD327" s="75"/>
      <c r="AE327" s="75"/>
      <c r="AF327" s="75"/>
      <c r="AG327" s="75"/>
      <c r="AH327" s="75"/>
      <c r="AI327" s="75"/>
      <c r="AJ327" s="81"/>
      <c r="AK327" s="75"/>
      <c r="AL327" s="75"/>
    </row>
    <row r="328" spans="1:38" x14ac:dyDescent="0.25">
      <c r="A328" s="75"/>
      <c r="B328" s="75"/>
      <c r="C328" s="8"/>
      <c r="D328" s="30"/>
      <c r="E328" s="57" t="s">
        <v>122</v>
      </c>
      <c r="F328" s="53"/>
      <c r="G328" s="87"/>
      <c r="H328" s="148">
        <f>SUMIF(Tableau14[CDS],"PS-2",Tableau14[A-1])</f>
        <v>0</v>
      </c>
      <c r="I328" s="148">
        <f>SUMIF(Tableau14[CDS],"PS-2",Tableau14[B-1])</f>
        <v>0</v>
      </c>
      <c r="J328" s="148">
        <f>SUMIF(Tableau14[CDS],"PS-2",Tableau14[B-2])</f>
        <v>0</v>
      </c>
      <c r="K328" s="148">
        <f>SUMIF(Tableau14[CDS],"PS-2",Tableau14[C-1])</f>
        <v>0</v>
      </c>
      <c r="L328" s="148">
        <f>SUMIF(Tableau14[CDS],"PS-2",Tableau14[C-2])</f>
        <v>0</v>
      </c>
      <c r="M328" s="148">
        <f>SUMIF(Tableau14[CDS],"PS-2",Tableau14[D-1])</f>
        <v>0</v>
      </c>
      <c r="N328" s="148">
        <f>SUMIF(Tableau14[CDS],"PS-2",Tableau14[D-2])</f>
        <v>0</v>
      </c>
      <c r="O328" s="148">
        <f>SUMIF(Tableau14[CDS],"PS-2",Tableau14[E-1])</f>
        <v>0</v>
      </c>
      <c r="P328" s="148">
        <f>SUMIF(Tableau14[CDS],"PS-2",Tableau14[E2])</f>
        <v>0</v>
      </c>
      <c r="Q328" s="148">
        <f>SUMIF(Tableau14[CDS],"PS-2",Tableau14[G-1])</f>
        <v>0</v>
      </c>
      <c r="R328" s="148">
        <f>SUMIF(Tableau14[CDS],"PS-2",Tableau14[G-2])</f>
        <v>0</v>
      </c>
      <c r="S328" s="148">
        <f>SUMIF(Tableau14[CDS],"PS-2",Tableau14[G-3])</f>
        <v>0</v>
      </c>
      <c r="T328" s="148">
        <f>SUMIF(Tableau14[CDS],"PS-2",Tableau14[G-4])</f>
        <v>0</v>
      </c>
      <c r="U328" s="148">
        <f>SUMIF(Tableau14[CDS],"PS-2",Tableau14[G-5])</f>
        <v>0</v>
      </c>
      <c r="V328" s="90"/>
      <c r="W328" s="75"/>
      <c r="X328" s="75"/>
      <c r="Y328" s="75"/>
      <c r="Z328" s="96" t="e">
        <f>SUM(Tableau14[[#This Row],[A-1]:[G-5]])</f>
        <v>#VALUE!</v>
      </c>
      <c r="AA328" s="96" t="e">
        <f>IF(AND(Z328&lt;0,Tableau14[[#This Row],[CDS]]=""),"Oui","Non")</f>
        <v>#VALUE!</v>
      </c>
      <c r="AB328" s="75"/>
      <c r="AC328" s="75"/>
      <c r="AD328" s="75"/>
      <c r="AE328" s="75"/>
      <c r="AF328" s="75"/>
      <c r="AG328" s="75"/>
      <c r="AH328" s="75"/>
      <c r="AI328" s="75"/>
      <c r="AJ328" s="81"/>
      <c r="AK328" s="75"/>
      <c r="AL328" s="75"/>
    </row>
    <row r="329" spans="1:38" ht="15.75" thickBot="1" x14ac:dyDescent="0.3">
      <c r="A329" s="75"/>
      <c r="B329" s="75"/>
      <c r="C329" s="35"/>
      <c r="D329" s="29"/>
      <c r="E329" s="59" t="s">
        <v>123</v>
      </c>
      <c r="F329" s="60"/>
      <c r="G329" s="88"/>
      <c r="H329" s="149">
        <f>SUMIF(Tableau14[CDS],"PS-4",Tableau14[A-1])</f>
        <v>0</v>
      </c>
      <c r="I329" s="149">
        <f>SUMIF(Tableau14[CDS],"PS-4",Tableau14[B-1])</f>
        <v>0</v>
      </c>
      <c r="J329" s="148">
        <f>SUMIF(Tableau14[CDS],"PS-4",Tableau14[B-2])</f>
        <v>0</v>
      </c>
      <c r="K329" s="149">
        <f>SUMIF(Tableau14[CDS],"PS-4",Tableau14[C-1])</f>
        <v>0</v>
      </c>
      <c r="L329" s="148">
        <f>SUMIF(Tableau14[CDS],"PS-4",Tableau14[C-2])</f>
        <v>0</v>
      </c>
      <c r="M329" s="148">
        <f>SUMIF(Tableau14[CDS],"PS-4",Tableau14[D-1])</f>
        <v>0</v>
      </c>
      <c r="N329" s="148">
        <f>SUMIF(Tableau14[CDS],"PS-4",Tableau14[D-2])</f>
        <v>0</v>
      </c>
      <c r="O329" s="149">
        <f>SUMIF(Tableau14[CDS],"PS-4",Tableau14[E-1])</f>
        <v>0</v>
      </c>
      <c r="P329" s="149">
        <f>SUMIF(Tableau14[CDS],"PS-4",Tableau14[E2])</f>
        <v>0</v>
      </c>
      <c r="Q329" s="148">
        <f>SUMIF(Tableau14[CDS],"PS-4",Tableau14[G-1])</f>
        <v>0</v>
      </c>
      <c r="R329" s="148">
        <f>SUMIF(Tableau14[CDS],"PS-4",Tableau14[G-2])</f>
        <v>0</v>
      </c>
      <c r="S329" s="148">
        <f>SUMIF(Tableau14[CDS],"PS-4",Tableau14[G-3])</f>
        <v>0</v>
      </c>
      <c r="T329" s="148">
        <f>SUMIF(Tableau14[CDS],"PS-4",Tableau14[G-4])</f>
        <v>0</v>
      </c>
      <c r="U329" s="149">
        <f>SUMIF(Tableau14[CDS],"PS-4",Tableau14[G-5])</f>
        <v>0</v>
      </c>
      <c r="V329" s="91"/>
      <c r="W329" s="75"/>
      <c r="X329" s="75"/>
      <c r="Y329" s="75"/>
      <c r="Z329" s="96" t="e">
        <f>SUM(Tableau14[[#This Row],[A-1]:[G-5]])</f>
        <v>#VALUE!</v>
      </c>
      <c r="AA329" s="96" t="e">
        <f>IF(AND(Z329&lt;0,Tableau14[[#This Row],[CDS]]=""),"Oui","Non")</f>
        <v>#VALUE!</v>
      </c>
      <c r="AB329" s="75"/>
      <c r="AC329" s="75"/>
      <c r="AD329" s="75"/>
      <c r="AE329" s="75"/>
      <c r="AF329" s="75"/>
      <c r="AG329" s="75"/>
      <c r="AH329" s="75"/>
      <c r="AI329" s="75"/>
      <c r="AJ329" s="81"/>
      <c r="AK329" s="75"/>
      <c r="AL329" s="75"/>
    </row>
    <row r="330" spans="1:38" x14ac:dyDescent="0.25">
      <c r="A330" s="75"/>
      <c r="B330" s="75"/>
      <c r="C330" s="35"/>
      <c r="D330" s="31"/>
      <c r="E330" s="61" t="s">
        <v>16</v>
      </c>
      <c r="F330" s="62"/>
      <c r="G330" s="89"/>
      <c r="H330" s="63">
        <f t="shared" ref="H330:U330" si="10">SUM(H326:H329)</f>
        <v>0</v>
      </c>
      <c r="I330" s="63">
        <f t="shared" si="10"/>
        <v>0</v>
      </c>
      <c r="J330" s="63">
        <f>SUM(J326:J329)</f>
        <v>0</v>
      </c>
      <c r="K330" s="63">
        <f t="shared" si="10"/>
        <v>0</v>
      </c>
      <c r="L330" s="63">
        <f t="shared" si="10"/>
        <v>0</v>
      </c>
      <c r="M330" s="63">
        <f t="shared" si="10"/>
        <v>0</v>
      </c>
      <c r="N330" s="63">
        <f t="shared" si="10"/>
        <v>0</v>
      </c>
      <c r="O330" s="63">
        <f t="shared" si="10"/>
        <v>0</v>
      </c>
      <c r="P330" s="63">
        <f t="shared" si="10"/>
        <v>0</v>
      </c>
      <c r="Q330" s="63">
        <f t="shared" si="10"/>
        <v>0</v>
      </c>
      <c r="R330" s="63">
        <f t="shared" si="10"/>
        <v>0</v>
      </c>
      <c r="S330" s="63">
        <f t="shared" si="10"/>
        <v>0</v>
      </c>
      <c r="T330" s="63">
        <f t="shared" si="10"/>
        <v>0</v>
      </c>
      <c r="U330" s="63">
        <f t="shared" si="10"/>
        <v>0</v>
      </c>
      <c r="V330" s="92"/>
      <c r="W330" s="75"/>
      <c r="X330" s="75"/>
      <c r="Y330" s="75"/>
      <c r="Z330" s="96"/>
      <c r="AA330" s="96"/>
      <c r="AB330" s="75"/>
      <c r="AC330" s="75"/>
      <c r="AD330" s="75"/>
      <c r="AE330" s="75"/>
      <c r="AF330" s="75"/>
      <c r="AG330" s="75"/>
      <c r="AH330" s="75"/>
      <c r="AI330" s="75"/>
      <c r="AJ330" s="81"/>
      <c r="AK330" s="75"/>
      <c r="AL330" s="75"/>
    </row>
    <row r="331" spans="1:38" x14ac:dyDescent="0.25">
      <c r="A331" s="75"/>
      <c r="B331" s="75"/>
      <c r="C331" s="36"/>
      <c r="D331" s="37"/>
      <c r="E331" s="58" t="s">
        <v>17</v>
      </c>
      <c r="F331" s="54"/>
      <c r="G331" s="87"/>
      <c r="H331" s="55">
        <f>H5-H330</f>
        <v>10</v>
      </c>
      <c r="I331" s="186">
        <f>I5-J330</f>
        <v>10</v>
      </c>
      <c r="J331" s="187"/>
      <c r="K331" s="186">
        <f>K5-L330</f>
        <v>10</v>
      </c>
      <c r="L331" s="187"/>
      <c r="M331" s="55">
        <f>M5-M330</f>
        <v>10</v>
      </c>
      <c r="N331" s="55">
        <f>M5-N330</f>
        <v>10</v>
      </c>
      <c r="O331" s="186">
        <f>O5-(O330+P330)</f>
        <v>10</v>
      </c>
      <c r="P331" s="187"/>
      <c r="Q331" s="186">
        <f>Q5-SUM(Q330:U330)</f>
        <v>10</v>
      </c>
      <c r="R331" s="190"/>
      <c r="S331" s="190"/>
      <c r="T331" s="190"/>
      <c r="U331" s="187"/>
      <c r="V331" s="90"/>
      <c r="W331" s="75"/>
      <c r="X331" s="75"/>
      <c r="Y331" s="75"/>
      <c r="Z331" s="96"/>
      <c r="AA331" s="96"/>
      <c r="AB331" s="75"/>
      <c r="AC331" s="75"/>
      <c r="AD331" s="75"/>
      <c r="AE331" s="75"/>
      <c r="AF331" s="75"/>
      <c r="AG331" s="75"/>
      <c r="AH331" s="75"/>
      <c r="AI331" s="75"/>
      <c r="AJ331" s="81"/>
      <c r="AK331" s="75"/>
      <c r="AL331" s="75"/>
    </row>
    <row r="332" spans="1:38" ht="30" x14ac:dyDescent="0.25">
      <c r="A332" s="75"/>
      <c r="B332" s="75"/>
      <c r="C332" s="27"/>
      <c r="D332" s="27"/>
      <c r="E332" s="143" t="s">
        <v>86</v>
      </c>
      <c r="F332" s="53"/>
      <c r="G332" s="87"/>
      <c r="H332" s="56">
        <f ca="1">H330/((H5/365)*Données!$B$3)</f>
        <v>0</v>
      </c>
      <c r="I332" s="188">
        <f ca="1">J330/((I5/365)*Données!$B$3)</f>
        <v>0</v>
      </c>
      <c r="J332" s="189"/>
      <c r="K332" s="188">
        <f ca="1">L330/((K5/365)*Données!$B$3)</f>
        <v>0</v>
      </c>
      <c r="L332" s="189"/>
      <c r="M332" s="56">
        <f ca="1">M330/((M5/365)*Données!$B$3)</f>
        <v>0</v>
      </c>
      <c r="N332" s="56">
        <f ca="1">N330/((N5/365)*Données!$B$3)</f>
        <v>0</v>
      </c>
      <c r="O332" s="188">
        <f ca="1">(O330+P330)/((O5/365)*Données!$B$3)</f>
        <v>0</v>
      </c>
      <c r="P332" s="189"/>
      <c r="Q332" s="188">
        <f ca="1">SUM(Q330:U330)/((Q5/365)*Données!$B$3)</f>
        <v>0</v>
      </c>
      <c r="R332" s="191"/>
      <c r="S332" s="191"/>
      <c r="T332" s="191"/>
      <c r="U332" s="189"/>
      <c r="V332" s="93"/>
      <c r="W332" s="75"/>
      <c r="X332" s="75"/>
      <c r="Y332" s="75"/>
      <c r="Z332" s="96"/>
      <c r="AA332" s="96"/>
      <c r="AB332" s="75"/>
      <c r="AC332" s="75"/>
      <c r="AD332" s="75"/>
      <c r="AE332" s="75"/>
      <c r="AF332" s="75"/>
      <c r="AG332" s="75"/>
      <c r="AH332" s="75"/>
      <c r="AI332" s="75"/>
      <c r="AJ332" s="81"/>
      <c r="AK332" s="75"/>
      <c r="AL332" s="75"/>
    </row>
    <row r="333" spans="1:38" ht="30" x14ac:dyDescent="0.25">
      <c r="A333" s="75"/>
      <c r="B333" s="75"/>
      <c r="C333" s="27"/>
      <c r="D333" s="27"/>
      <c r="E333" s="143" t="s">
        <v>87</v>
      </c>
      <c r="F333" s="53"/>
      <c r="G333" s="87"/>
      <c r="H333" s="56">
        <f>H330/H5</f>
        <v>0</v>
      </c>
      <c r="I333" s="188">
        <f>J330/I5</f>
        <v>0</v>
      </c>
      <c r="J333" s="189"/>
      <c r="K333" s="188">
        <f>L330/K5</f>
        <v>0</v>
      </c>
      <c r="L333" s="189"/>
      <c r="M333" s="56">
        <f>M330/M5</f>
        <v>0</v>
      </c>
      <c r="N333" s="56">
        <f>N330/M5</f>
        <v>0</v>
      </c>
      <c r="O333" s="188">
        <f>(O330+P330)/O5</f>
        <v>0</v>
      </c>
      <c r="P333" s="189"/>
      <c r="Q333" s="188">
        <f>SUM(Q330:U330)/Q5</f>
        <v>0</v>
      </c>
      <c r="R333" s="191"/>
      <c r="S333" s="191"/>
      <c r="T333" s="191"/>
      <c r="U333" s="189"/>
      <c r="V333" s="93"/>
      <c r="W333" s="75"/>
      <c r="X333" s="75"/>
      <c r="Y333" s="75"/>
      <c r="Z333" s="96"/>
      <c r="AA333" s="96"/>
      <c r="AB333" s="75"/>
      <c r="AC333" s="75"/>
      <c r="AD333" s="75"/>
      <c r="AE333" s="75"/>
      <c r="AF333" s="75"/>
      <c r="AG333" s="75"/>
      <c r="AH333" s="75"/>
      <c r="AI333" s="75"/>
      <c r="AJ333" s="81"/>
      <c r="AK333" s="75"/>
      <c r="AL333" s="75"/>
    </row>
    <row r="334" spans="1:38" s="49" customFormat="1" x14ac:dyDescent="0.25">
      <c r="A334" s="80"/>
      <c r="B334" s="82"/>
      <c r="C334" s="83"/>
      <c r="D334" s="83"/>
      <c r="E334" s="83"/>
      <c r="F334" s="80"/>
      <c r="G334" s="80"/>
      <c r="H334" s="80"/>
      <c r="I334" s="80"/>
      <c r="J334" s="80"/>
      <c r="K334" s="80"/>
      <c r="L334" s="80"/>
      <c r="M334" s="80"/>
      <c r="N334" s="80"/>
      <c r="O334" s="80"/>
      <c r="P334" s="80"/>
      <c r="Q334" s="80"/>
      <c r="R334" s="80"/>
      <c r="S334" s="80"/>
      <c r="T334" s="80"/>
      <c r="U334" s="80"/>
      <c r="V334" s="84"/>
      <c r="W334" s="80"/>
      <c r="X334" s="80"/>
      <c r="Y334" s="80"/>
      <c r="Z334" s="98"/>
      <c r="AA334" s="98"/>
      <c r="AB334" s="80"/>
      <c r="AC334" s="80"/>
      <c r="AD334" s="80"/>
      <c r="AE334" s="80"/>
      <c r="AF334" s="80"/>
      <c r="AG334" s="80"/>
      <c r="AH334" s="80"/>
      <c r="AI334" s="80"/>
      <c r="AJ334" s="95"/>
      <c r="AK334" s="80"/>
      <c r="AL334" s="80"/>
    </row>
    <row r="335" spans="1:38" s="48" customFormat="1" x14ac:dyDescent="0.25">
      <c r="A335" s="75"/>
      <c r="B335" s="82"/>
      <c r="C335" s="76"/>
      <c r="D335" s="76"/>
      <c r="E335" s="75"/>
      <c r="F335" s="75"/>
      <c r="G335" s="75"/>
      <c r="H335" s="75"/>
      <c r="I335" s="75"/>
      <c r="J335" s="75"/>
      <c r="K335" s="75"/>
      <c r="L335" s="75"/>
      <c r="M335" s="75"/>
      <c r="N335" s="75"/>
      <c r="O335" s="75"/>
      <c r="P335" s="75"/>
      <c r="Q335" s="75"/>
      <c r="R335" s="75"/>
      <c r="S335" s="75"/>
      <c r="T335" s="75"/>
      <c r="U335" s="75"/>
      <c r="V335" s="77"/>
      <c r="W335" s="75"/>
      <c r="X335" s="75"/>
      <c r="Y335" s="75"/>
      <c r="Z335" s="96"/>
      <c r="AA335" s="96"/>
      <c r="AB335" s="75"/>
      <c r="AC335" s="75"/>
      <c r="AD335" s="75"/>
      <c r="AE335" s="75"/>
      <c r="AF335" s="75"/>
      <c r="AG335" s="75"/>
      <c r="AH335" s="75"/>
      <c r="AI335" s="75"/>
      <c r="AJ335" s="81"/>
      <c r="AK335" s="75"/>
      <c r="AL335" s="75"/>
    </row>
    <row r="336" spans="1:38" s="48" customFormat="1" x14ac:dyDescent="0.25">
      <c r="A336" s="75"/>
      <c r="B336" s="82"/>
      <c r="C336" s="76"/>
      <c r="D336" s="76"/>
      <c r="E336" s="75"/>
      <c r="F336" s="75"/>
      <c r="G336" s="75"/>
      <c r="H336" s="75"/>
      <c r="I336" s="75"/>
      <c r="J336" s="75"/>
      <c r="K336" s="75"/>
      <c r="L336" s="75"/>
      <c r="M336" s="75"/>
      <c r="N336" s="75"/>
      <c r="O336" s="75"/>
      <c r="P336" s="75"/>
      <c r="Q336" s="75"/>
      <c r="R336" s="75"/>
      <c r="S336" s="75"/>
      <c r="T336" s="75"/>
      <c r="U336" s="75"/>
      <c r="V336" s="77"/>
      <c r="W336" s="75"/>
      <c r="X336" s="75"/>
      <c r="Y336" s="75"/>
      <c r="Z336" s="96"/>
      <c r="AA336" s="96"/>
      <c r="AB336" s="75"/>
      <c r="AC336" s="75"/>
      <c r="AD336" s="75"/>
      <c r="AE336" s="75"/>
      <c r="AF336" s="75"/>
      <c r="AG336" s="75"/>
      <c r="AH336" s="75"/>
      <c r="AI336" s="75"/>
      <c r="AJ336" s="81"/>
      <c r="AK336" s="75"/>
      <c r="AL336" s="75"/>
    </row>
    <row r="337" spans="1:38" s="48" customFormat="1" x14ac:dyDescent="0.25">
      <c r="A337" s="75"/>
      <c r="B337" s="82"/>
      <c r="C337" s="76"/>
      <c r="D337" s="76"/>
      <c r="E337" s="75"/>
      <c r="F337" s="75"/>
      <c r="G337" s="75"/>
      <c r="H337" s="75"/>
      <c r="I337" s="75"/>
      <c r="J337" s="75"/>
      <c r="K337" s="75"/>
      <c r="L337" s="75"/>
      <c r="M337" s="75"/>
      <c r="N337" s="75"/>
      <c r="O337" s="75"/>
      <c r="P337" s="75"/>
      <c r="Q337" s="75"/>
      <c r="R337" s="75"/>
      <c r="S337" s="75"/>
      <c r="T337" s="75"/>
      <c r="U337" s="75"/>
      <c r="V337" s="77"/>
      <c r="W337" s="75"/>
      <c r="X337" s="75"/>
      <c r="Y337" s="75"/>
      <c r="Z337" s="96"/>
      <c r="AA337" s="96"/>
      <c r="AB337" s="75"/>
      <c r="AC337" s="75"/>
      <c r="AD337" s="75"/>
      <c r="AE337" s="75"/>
      <c r="AF337" s="75"/>
      <c r="AG337" s="75"/>
      <c r="AH337" s="75"/>
      <c r="AI337" s="75"/>
      <c r="AJ337" s="81"/>
      <c r="AK337" s="75"/>
      <c r="AL337" s="75"/>
    </row>
    <row r="338" spans="1:38" s="48" customFormat="1" x14ac:dyDescent="0.25">
      <c r="A338" s="75"/>
      <c r="B338" s="82"/>
      <c r="C338" s="76"/>
      <c r="D338" s="76"/>
      <c r="E338" s="75"/>
      <c r="F338" s="75"/>
      <c r="G338" s="75"/>
      <c r="H338" s="75"/>
      <c r="I338" s="75"/>
      <c r="J338" s="75"/>
      <c r="K338" s="75"/>
      <c r="L338" s="75"/>
      <c r="M338" s="75"/>
      <c r="N338" s="75"/>
      <c r="O338" s="75"/>
      <c r="P338" s="75"/>
      <c r="Q338" s="75"/>
      <c r="R338" s="75"/>
      <c r="S338" s="75"/>
      <c r="T338" s="75"/>
      <c r="U338" s="75"/>
      <c r="V338" s="77"/>
      <c r="W338" s="75"/>
      <c r="X338" s="75"/>
      <c r="Y338" s="75"/>
      <c r="Z338" s="96"/>
      <c r="AA338" s="96"/>
      <c r="AB338" s="75"/>
      <c r="AC338" s="75"/>
      <c r="AD338" s="75"/>
      <c r="AE338" s="75"/>
      <c r="AF338" s="75"/>
      <c r="AG338" s="75"/>
      <c r="AH338" s="75"/>
      <c r="AI338" s="75"/>
      <c r="AJ338" s="81"/>
      <c r="AK338" s="75"/>
      <c r="AL338" s="75"/>
    </row>
    <row r="339" spans="1:38" s="48" customFormat="1" x14ac:dyDescent="0.25">
      <c r="A339" s="75"/>
      <c r="B339" s="82"/>
      <c r="C339" s="85"/>
      <c r="D339" s="85"/>
      <c r="E339" s="75"/>
      <c r="F339" s="75"/>
      <c r="G339" s="75"/>
      <c r="H339" s="75"/>
      <c r="I339" s="75"/>
      <c r="J339" s="75"/>
      <c r="K339" s="75"/>
      <c r="L339" s="75"/>
      <c r="M339" s="75"/>
      <c r="N339" s="75"/>
      <c r="O339" s="75"/>
      <c r="P339" s="75"/>
      <c r="Q339" s="75"/>
      <c r="R339" s="75"/>
      <c r="S339" s="75"/>
      <c r="T339" s="75"/>
      <c r="U339" s="75"/>
      <c r="V339" s="77"/>
      <c r="W339" s="75"/>
      <c r="X339" s="75"/>
      <c r="Y339" s="75"/>
      <c r="Z339" s="78"/>
      <c r="AA339" s="78"/>
      <c r="AB339" s="75"/>
      <c r="AC339" s="75"/>
      <c r="AD339" s="75"/>
      <c r="AE339" s="75"/>
      <c r="AF339" s="75"/>
      <c r="AG339" s="75"/>
      <c r="AH339" s="75"/>
      <c r="AI339" s="75"/>
      <c r="AJ339" s="81"/>
      <c r="AK339" s="75"/>
      <c r="AL339" s="75"/>
    </row>
    <row r="340" spans="1:38" s="48" customFormat="1" x14ac:dyDescent="0.25">
      <c r="A340" s="75"/>
      <c r="B340" s="82"/>
      <c r="C340" s="76"/>
      <c r="D340" s="76"/>
      <c r="E340" s="75"/>
      <c r="F340" s="75"/>
      <c r="G340" s="75"/>
      <c r="H340" s="75"/>
      <c r="I340" s="75"/>
      <c r="J340" s="75"/>
      <c r="K340" s="75"/>
      <c r="L340" s="75"/>
      <c r="M340" s="75"/>
      <c r="N340" s="75"/>
      <c r="O340" s="75"/>
      <c r="P340" s="75"/>
      <c r="Q340" s="75"/>
      <c r="R340" s="75"/>
      <c r="S340" s="75"/>
      <c r="T340" s="75"/>
      <c r="U340" s="75"/>
      <c r="V340" s="77"/>
      <c r="W340" s="75"/>
      <c r="X340" s="75"/>
      <c r="Y340" s="75"/>
      <c r="Z340" s="78"/>
      <c r="AA340" s="78"/>
      <c r="AB340" s="75"/>
      <c r="AC340" s="75"/>
      <c r="AD340" s="75"/>
      <c r="AE340" s="75"/>
      <c r="AF340" s="75"/>
      <c r="AG340" s="75"/>
      <c r="AH340" s="75"/>
      <c r="AI340" s="75"/>
      <c r="AJ340" s="81"/>
      <c r="AK340" s="75"/>
      <c r="AL340" s="75"/>
    </row>
    <row r="341" spans="1:38" s="69" customFormat="1" x14ac:dyDescent="0.25">
      <c r="A341" s="75"/>
      <c r="B341" s="75"/>
      <c r="C341" s="76"/>
      <c r="D341" s="76"/>
      <c r="E341" s="75"/>
      <c r="F341" s="75"/>
      <c r="G341" s="75"/>
      <c r="H341" s="75"/>
      <c r="I341" s="75"/>
      <c r="J341" s="75"/>
      <c r="K341" s="75"/>
      <c r="L341" s="75"/>
      <c r="M341" s="75"/>
      <c r="N341" s="75"/>
      <c r="O341" s="75"/>
      <c r="P341" s="75"/>
      <c r="Q341" s="75"/>
      <c r="R341" s="75"/>
      <c r="S341" s="75"/>
      <c r="T341" s="75"/>
      <c r="U341" s="75"/>
      <c r="V341" s="77"/>
      <c r="W341" s="75"/>
      <c r="X341" s="75"/>
      <c r="Y341" s="75"/>
      <c r="Z341" s="78"/>
      <c r="AA341" s="78"/>
      <c r="AB341" s="75"/>
      <c r="AC341" s="75"/>
      <c r="AD341" s="75"/>
      <c r="AE341" s="75"/>
      <c r="AF341" s="75"/>
      <c r="AG341" s="75"/>
      <c r="AH341" s="75"/>
      <c r="AI341" s="75"/>
      <c r="AJ341" s="81"/>
      <c r="AK341" s="75"/>
      <c r="AL341" s="75"/>
    </row>
    <row r="342" spans="1:38" s="69" customFormat="1" x14ac:dyDescent="0.25">
      <c r="A342" s="75"/>
      <c r="B342" s="75"/>
      <c r="C342" s="76"/>
      <c r="D342" s="76"/>
      <c r="E342" s="75"/>
      <c r="F342" s="75"/>
      <c r="G342" s="75"/>
      <c r="H342" s="75"/>
      <c r="I342" s="75"/>
      <c r="J342" s="75"/>
      <c r="K342" s="75"/>
      <c r="L342" s="75"/>
      <c r="M342" s="75"/>
      <c r="N342" s="75"/>
      <c r="O342" s="75"/>
      <c r="P342" s="75"/>
      <c r="Q342" s="75"/>
      <c r="R342" s="75"/>
      <c r="S342" s="75"/>
      <c r="T342" s="75"/>
      <c r="U342" s="75"/>
      <c r="V342" s="77"/>
      <c r="W342" s="75"/>
      <c r="X342" s="75"/>
      <c r="Y342" s="75"/>
      <c r="Z342" s="78"/>
      <c r="AA342" s="78"/>
      <c r="AB342" s="75"/>
      <c r="AC342" s="75"/>
      <c r="AD342" s="75"/>
      <c r="AE342" s="75"/>
      <c r="AF342" s="75"/>
      <c r="AG342" s="75"/>
      <c r="AH342" s="75"/>
      <c r="AI342" s="75"/>
      <c r="AJ342" s="81"/>
      <c r="AK342" s="75"/>
      <c r="AL342" s="75"/>
    </row>
    <row r="343" spans="1:38" s="69" customFormat="1" x14ac:dyDescent="0.25">
      <c r="A343" s="75"/>
      <c r="B343" s="75"/>
      <c r="C343" s="76"/>
      <c r="D343" s="76"/>
      <c r="E343" s="75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7"/>
      <c r="W343" s="75"/>
      <c r="X343" s="75"/>
      <c r="Y343" s="75"/>
      <c r="Z343" s="78"/>
      <c r="AA343" s="78"/>
      <c r="AB343" s="75"/>
      <c r="AC343" s="75"/>
      <c r="AD343" s="75"/>
      <c r="AE343" s="75"/>
      <c r="AF343" s="75"/>
      <c r="AG343" s="75"/>
      <c r="AH343" s="75"/>
      <c r="AI343" s="75"/>
      <c r="AJ343" s="81"/>
      <c r="AK343" s="75"/>
      <c r="AL343" s="75"/>
    </row>
    <row r="344" spans="1:38" s="69" customFormat="1" x14ac:dyDescent="0.25">
      <c r="A344" s="75"/>
      <c r="B344" s="75"/>
      <c r="C344" s="76"/>
      <c r="D344" s="76"/>
      <c r="E344" s="75"/>
      <c r="F344" s="75"/>
      <c r="G344" s="75"/>
      <c r="H344" s="75"/>
      <c r="I344" s="75"/>
      <c r="J344" s="75"/>
      <c r="K344" s="75"/>
      <c r="L344" s="75"/>
      <c r="M344" s="75"/>
      <c r="N344" s="75"/>
      <c r="O344" s="75"/>
      <c r="P344" s="75"/>
      <c r="Q344" s="75"/>
      <c r="R344" s="75"/>
      <c r="S344" s="75"/>
      <c r="T344" s="75"/>
      <c r="U344" s="75"/>
      <c r="V344" s="77"/>
      <c r="W344" s="75"/>
      <c r="X344" s="75"/>
      <c r="Y344" s="75"/>
      <c r="Z344" s="78"/>
      <c r="AA344" s="78"/>
      <c r="AB344" s="75"/>
      <c r="AC344" s="75"/>
      <c r="AD344" s="75"/>
      <c r="AE344" s="75"/>
      <c r="AF344" s="75"/>
      <c r="AG344" s="75"/>
      <c r="AH344" s="75"/>
      <c r="AI344" s="75"/>
      <c r="AJ344" s="81"/>
      <c r="AK344" s="75"/>
      <c r="AL344" s="75"/>
    </row>
    <row r="345" spans="1:38" s="69" customFormat="1" x14ac:dyDescent="0.25">
      <c r="A345" s="75"/>
      <c r="B345" s="75"/>
      <c r="C345" s="76"/>
      <c r="D345" s="76"/>
      <c r="E345" s="75"/>
      <c r="F345" s="75"/>
      <c r="G345" s="75"/>
      <c r="H345" s="75"/>
      <c r="I345" s="75"/>
      <c r="J345" s="75"/>
      <c r="K345" s="75"/>
      <c r="L345" s="75"/>
      <c r="M345" s="75"/>
      <c r="N345" s="75"/>
      <c r="O345" s="75"/>
      <c r="P345" s="75"/>
      <c r="Q345" s="75"/>
      <c r="R345" s="75"/>
      <c r="S345" s="75"/>
      <c r="T345" s="75"/>
      <c r="U345" s="75"/>
      <c r="V345" s="77"/>
      <c r="W345" s="75"/>
      <c r="X345" s="75"/>
      <c r="Y345" s="75"/>
      <c r="Z345" s="78"/>
      <c r="AA345" s="78"/>
      <c r="AB345" s="75"/>
      <c r="AC345" s="75"/>
      <c r="AD345" s="75"/>
      <c r="AE345" s="75"/>
      <c r="AF345" s="75"/>
      <c r="AG345" s="75"/>
      <c r="AH345" s="75"/>
      <c r="AI345" s="75"/>
      <c r="AJ345" s="81"/>
      <c r="AK345" s="75"/>
      <c r="AL345" s="75"/>
    </row>
    <row r="346" spans="1:38" s="69" customFormat="1" x14ac:dyDescent="0.25">
      <c r="A346" s="75"/>
      <c r="B346" s="75"/>
      <c r="C346" s="76"/>
      <c r="D346" s="76"/>
      <c r="E346" s="75"/>
      <c r="F346" s="75"/>
      <c r="G346" s="75"/>
      <c r="H346" s="75"/>
      <c r="I346" s="75"/>
      <c r="J346" s="75"/>
      <c r="K346" s="75"/>
      <c r="L346" s="75"/>
      <c r="M346" s="75"/>
      <c r="N346" s="75"/>
      <c r="O346" s="75"/>
      <c r="P346" s="75"/>
      <c r="Q346" s="75"/>
      <c r="R346" s="75"/>
      <c r="S346" s="75"/>
      <c r="T346" s="75"/>
      <c r="U346" s="75"/>
      <c r="V346" s="77"/>
      <c r="W346" s="75"/>
      <c r="X346" s="75"/>
      <c r="Y346" s="75"/>
      <c r="Z346" s="78"/>
      <c r="AA346" s="78"/>
      <c r="AB346" s="75"/>
      <c r="AC346" s="75"/>
      <c r="AD346" s="75"/>
      <c r="AE346" s="75"/>
      <c r="AF346" s="75"/>
      <c r="AG346" s="75"/>
      <c r="AH346" s="75"/>
      <c r="AI346" s="75"/>
      <c r="AJ346" s="81"/>
      <c r="AK346" s="75"/>
      <c r="AL346" s="75"/>
    </row>
    <row r="347" spans="1:38" s="69" customFormat="1" x14ac:dyDescent="0.25">
      <c r="A347" s="75"/>
      <c r="B347" s="75"/>
      <c r="C347" s="76"/>
      <c r="D347" s="76"/>
      <c r="E347" s="75"/>
      <c r="F347" s="75"/>
      <c r="G347" s="75"/>
      <c r="H347" s="75"/>
      <c r="I347" s="75"/>
      <c r="J347" s="75"/>
      <c r="K347" s="75"/>
      <c r="L347" s="75"/>
      <c r="M347" s="75"/>
      <c r="N347" s="75"/>
      <c r="O347" s="75"/>
      <c r="P347" s="75"/>
      <c r="Q347" s="75"/>
      <c r="R347" s="75"/>
      <c r="S347" s="75"/>
      <c r="T347" s="75"/>
      <c r="U347" s="75"/>
      <c r="V347" s="77"/>
      <c r="W347" s="75"/>
      <c r="X347" s="75"/>
      <c r="Y347" s="75"/>
      <c r="Z347" s="78"/>
      <c r="AA347" s="78"/>
      <c r="AB347" s="75"/>
      <c r="AC347" s="75"/>
      <c r="AD347" s="75"/>
      <c r="AE347" s="75"/>
      <c r="AF347" s="75"/>
      <c r="AG347" s="75"/>
      <c r="AH347" s="75"/>
      <c r="AI347" s="75"/>
      <c r="AJ347" s="81"/>
      <c r="AK347" s="75"/>
      <c r="AL347" s="75"/>
    </row>
    <row r="348" spans="1:38" s="69" customFormat="1" x14ac:dyDescent="0.25">
      <c r="A348" s="75"/>
      <c r="B348" s="75"/>
      <c r="C348" s="76"/>
      <c r="D348" s="76"/>
      <c r="E348" s="75"/>
      <c r="F348" s="75"/>
      <c r="G348" s="75"/>
      <c r="H348" s="75"/>
      <c r="I348" s="75"/>
      <c r="J348" s="75"/>
      <c r="K348" s="75"/>
      <c r="L348" s="75"/>
      <c r="M348" s="75"/>
      <c r="N348" s="75"/>
      <c r="O348" s="75"/>
      <c r="P348" s="75"/>
      <c r="Q348" s="75"/>
      <c r="R348" s="75"/>
      <c r="S348" s="75"/>
      <c r="T348" s="75"/>
      <c r="U348" s="75"/>
      <c r="V348" s="77"/>
      <c r="W348" s="75"/>
      <c r="X348" s="75"/>
      <c r="Y348" s="75"/>
      <c r="Z348" s="78"/>
      <c r="AA348" s="78"/>
      <c r="AB348" s="75"/>
      <c r="AC348" s="75"/>
      <c r="AD348" s="75"/>
      <c r="AE348" s="75"/>
      <c r="AF348" s="75"/>
      <c r="AG348" s="75"/>
      <c r="AH348" s="75"/>
      <c r="AI348" s="75"/>
      <c r="AJ348" s="81"/>
      <c r="AK348" s="75"/>
      <c r="AL348" s="75"/>
    </row>
    <row r="349" spans="1:38" s="69" customFormat="1" x14ac:dyDescent="0.25">
      <c r="A349" s="75"/>
      <c r="B349" s="75"/>
      <c r="C349" s="76"/>
      <c r="D349" s="76"/>
      <c r="E349" s="75"/>
      <c r="F349" s="75"/>
      <c r="G349" s="75"/>
      <c r="H349" s="75"/>
      <c r="I349" s="75"/>
      <c r="J349" s="75"/>
      <c r="K349" s="75"/>
      <c r="L349" s="75"/>
      <c r="M349" s="75"/>
      <c r="N349" s="75"/>
      <c r="O349" s="75"/>
      <c r="P349" s="75"/>
      <c r="Q349" s="75"/>
      <c r="R349" s="75"/>
      <c r="S349" s="75"/>
      <c r="T349" s="75"/>
      <c r="U349" s="75"/>
      <c r="V349" s="77"/>
      <c r="W349" s="75"/>
      <c r="X349" s="75"/>
      <c r="Y349" s="75"/>
      <c r="Z349" s="78"/>
      <c r="AA349" s="78"/>
      <c r="AB349" s="75"/>
      <c r="AC349" s="75"/>
      <c r="AD349" s="75"/>
      <c r="AE349" s="75"/>
      <c r="AF349" s="75"/>
      <c r="AG349" s="75"/>
      <c r="AH349" s="75"/>
      <c r="AI349" s="75"/>
      <c r="AJ349" s="81"/>
      <c r="AK349" s="75"/>
      <c r="AL349" s="75"/>
    </row>
    <row r="350" spans="1:38" s="69" customFormat="1" x14ac:dyDescent="0.25">
      <c r="A350" s="75"/>
      <c r="B350" s="75"/>
      <c r="C350" s="76"/>
      <c r="D350" s="76"/>
      <c r="E350" s="75"/>
      <c r="F350" s="75"/>
      <c r="G350" s="75"/>
      <c r="H350" s="75"/>
      <c r="I350" s="75"/>
      <c r="J350" s="75"/>
      <c r="K350" s="75"/>
      <c r="L350" s="75"/>
      <c r="M350" s="75"/>
      <c r="N350" s="75"/>
      <c r="O350" s="75"/>
      <c r="P350" s="75"/>
      <c r="Q350" s="75"/>
      <c r="R350" s="75"/>
      <c r="S350" s="75"/>
      <c r="T350" s="75"/>
      <c r="U350" s="75"/>
      <c r="V350" s="77"/>
      <c r="W350" s="75"/>
      <c r="X350" s="75"/>
      <c r="Y350" s="75"/>
      <c r="Z350" s="78"/>
      <c r="AA350" s="78"/>
      <c r="AB350" s="75"/>
      <c r="AC350" s="75"/>
      <c r="AD350" s="75"/>
      <c r="AE350" s="75"/>
      <c r="AF350" s="75"/>
      <c r="AG350" s="75"/>
      <c r="AH350" s="75"/>
      <c r="AI350" s="75"/>
      <c r="AJ350" s="81"/>
      <c r="AK350" s="75"/>
      <c r="AL350" s="75"/>
    </row>
    <row r="351" spans="1:38" s="69" customFormat="1" x14ac:dyDescent="0.25">
      <c r="A351" s="75"/>
      <c r="B351" s="75"/>
      <c r="C351" s="76"/>
      <c r="D351" s="76"/>
      <c r="E351" s="75"/>
      <c r="F351" s="75"/>
      <c r="G351" s="75"/>
      <c r="H351" s="75"/>
      <c r="I351" s="75"/>
      <c r="J351" s="75"/>
      <c r="K351" s="75"/>
      <c r="L351" s="75"/>
      <c r="M351" s="75"/>
      <c r="N351" s="75"/>
      <c r="O351" s="75"/>
      <c r="P351" s="75"/>
      <c r="Q351" s="75"/>
      <c r="R351" s="75"/>
      <c r="S351" s="75"/>
      <c r="T351" s="75"/>
      <c r="U351" s="75"/>
      <c r="V351" s="77"/>
      <c r="W351" s="75"/>
      <c r="X351" s="75"/>
      <c r="Y351" s="75"/>
      <c r="Z351" s="78"/>
      <c r="AA351" s="78"/>
      <c r="AB351" s="75"/>
      <c r="AC351" s="75"/>
      <c r="AD351" s="75"/>
      <c r="AE351" s="75"/>
      <c r="AF351" s="75"/>
      <c r="AG351" s="75"/>
      <c r="AH351" s="75"/>
      <c r="AI351" s="75"/>
      <c r="AJ351" s="81"/>
      <c r="AK351" s="75"/>
      <c r="AL351" s="75"/>
    </row>
    <row r="352" spans="1:38" s="69" customFormat="1" x14ac:dyDescent="0.25">
      <c r="A352" s="75"/>
      <c r="B352" s="75"/>
      <c r="C352" s="76"/>
      <c r="D352" s="76"/>
      <c r="E352" s="75"/>
      <c r="F352" s="75"/>
      <c r="G352" s="75"/>
      <c r="H352" s="75"/>
      <c r="I352" s="75"/>
      <c r="J352" s="75"/>
      <c r="K352" s="75"/>
      <c r="L352" s="75"/>
      <c r="M352" s="75"/>
      <c r="N352" s="75"/>
      <c r="O352" s="75"/>
      <c r="P352" s="75"/>
      <c r="Q352" s="75"/>
      <c r="R352" s="75"/>
      <c r="S352" s="75"/>
      <c r="T352" s="75"/>
      <c r="U352" s="75"/>
      <c r="V352" s="77"/>
      <c r="W352" s="75"/>
      <c r="X352" s="75"/>
      <c r="Y352" s="75"/>
      <c r="Z352" s="78"/>
      <c r="AA352" s="78"/>
      <c r="AB352" s="75"/>
      <c r="AC352" s="75"/>
      <c r="AD352" s="75"/>
      <c r="AE352" s="75"/>
      <c r="AF352" s="75"/>
      <c r="AG352" s="75"/>
      <c r="AH352" s="75"/>
      <c r="AI352" s="75"/>
      <c r="AJ352" s="81"/>
      <c r="AK352" s="75"/>
      <c r="AL352" s="75"/>
    </row>
    <row r="353" spans="1:38" s="69" customFormat="1" x14ac:dyDescent="0.25">
      <c r="A353" s="75"/>
      <c r="B353" s="75"/>
      <c r="C353" s="76"/>
      <c r="D353" s="76"/>
      <c r="E353" s="75"/>
      <c r="F353" s="75"/>
      <c r="G353" s="75"/>
      <c r="H353" s="75"/>
      <c r="I353" s="75"/>
      <c r="J353" s="75"/>
      <c r="K353" s="75"/>
      <c r="L353" s="75"/>
      <c r="M353" s="75"/>
      <c r="N353" s="75"/>
      <c r="O353" s="75"/>
      <c r="P353" s="75"/>
      <c r="Q353" s="75"/>
      <c r="R353" s="75"/>
      <c r="S353" s="75"/>
      <c r="T353" s="75"/>
      <c r="U353" s="75"/>
      <c r="V353" s="77"/>
      <c r="W353" s="75"/>
      <c r="X353" s="75"/>
      <c r="Y353" s="75"/>
      <c r="Z353" s="78"/>
      <c r="AA353" s="78"/>
      <c r="AB353" s="75"/>
      <c r="AC353" s="75"/>
      <c r="AD353" s="75"/>
      <c r="AE353" s="75"/>
      <c r="AF353" s="75"/>
      <c r="AG353" s="75"/>
      <c r="AH353" s="75"/>
      <c r="AI353" s="75"/>
      <c r="AJ353" s="81"/>
      <c r="AK353" s="75"/>
      <c r="AL353" s="75"/>
    </row>
    <row r="354" spans="1:38" s="69" customFormat="1" x14ac:dyDescent="0.25">
      <c r="A354" s="75"/>
      <c r="B354" s="75"/>
      <c r="C354" s="76"/>
      <c r="D354" s="76"/>
      <c r="E354" s="75"/>
      <c r="F354" s="75"/>
      <c r="G354" s="75"/>
      <c r="H354" s="75"/>
      <c r="I354" s="75"/>
      <c r="J354" s="75"/>
      <c r="K354" s="75"/>
      <c r="L354" s="75"/>
      <c r="M354" s="75"/>
      <c r="N354" s="75"/>
      <c r="O354" s="75"/>
      <c r="P354" s="75"/>
      <c r="Q354" s="75"/>
      <c r="R354" s="75"/>
      <c r="S354" s="75"/>
      <c r="T354" s="75"/>
      <c r="U354" s="75"/>
      <c r="V354" s="77"/>
      <c r="W354" s="75"/>
      <c r="X354" s="75"/>
      <c r="Y354" s="75"/>
      <c r="Z354" s="78"/>
      <c r="AA354" s="78"/>
      <c r="AB354" s="75"/>
      <c r="AC354" s="75"/>
      <c r="AD354" s="75"/>
      <c r="AE354" s="75"/>
      <c r="AF354" s="75"/>
      <c r="AG354" s="75"/>
      <c r="AH354" s="75"/>
      <c r="AI354" s="75"/>
      <c r="AJ354" s="81"/>
      <c r="AK354" s="75"/>
      <c r="AL354" s="75"/>
    </row>
    <row r="355" spans="1:38" s="69" customFormat="1" x14ac:dyDescent="0.25">
      <c r="A355" s="75"/>
      <c r="B355" s="75"/>
      <c r="C355" s="76"/>
      <c r="D355" s="76"/>
      <c r="E355" s="75"/>
      <c r="F355" s="75"/>
      <c r="G355" s="75"/>
      <c r="H355" s="75"/>
      <c r="I355" s="75"/>
      <c r="J355" s="75"/>
      <c r="K355" s="75"/>
      <c r="L355" s="75"/>
      <c r="M355" s="75"/>
      <c r="N355" s="75"/>
      <c r="O355" s="75"/>
      <c r="P355" s="75"/>
      <c r="Q355" s="75"/>
      <c r="R355" s="75"/>
      <c r="S355" s="75"/>
      <c r="T355" s="75"/>
      <c r="U355" s="75"/>
      <c r="V355" s="77"/>
      <c r="W355" s="75"/>
      <c r="X355" s="75"/>
      <c r="Y355" s="75"/>
      <c r="Z355" s="78"/>
      <c r="AA355" s="78"/>
      <c r="AB355" s="75"/>
      <c r="AC355" s="75"/>
      <c r="AD355" s="75"/>
      <c r="AE355" s="75"/>
      <c r="AF355" s="75"/>
      <c r="AG355" s="75"/>
      <c r="AH355" s="75"/>
      <c r="AI355" s="75"/>
      <c r="AJ355" s="81"/>
      <c r="AK355" s="75"/>
      <c r="AL355" s="75"/>
    </row>
    <row r="356" spans="1:38" s="69" customFormat="1" x14ac:dyDescent="0.25">
      <c r="A356" s="75"/>
      <c r="B356" s="75"/>
      <c r="C356" s="76"/>
      <c r="D356" s="76"/>
      <c r="E356" s="75"/>
      <c r="F356" s="75"/>
      <c r="G356" s="75"/>
      <c r="H356" s="75"/>
      <c r="I356" s="75"/>
      <c r="J356" s="75"/>
      <c r="K356" s="75"/>
      <c r="L356" s="75"/>
      <c r="M356" s="75"/>
      <c r="N356" s="75"/>
      <c r="O356" s="75"/>
      <c r="P356" s="75"/>
      <c r="Q356" s="75"/>
      <c r="R356" s="75"/>
      <c r="S356" s="75"/>
      <c r="T356" s="75"/>
      <c r="U356" s="75"/>
      <c r="V356" s="77"/>
      <c r="W356" s="75"/>
      <c r="X356" s="75"/>
      <c r="Y356" s="75"/>
      <c r="Z356" s="78"/>
      <c r="AA356" s="78"/>
      <c r="AB356" s="75"/>
      <c r="AC356" s="75"/>
      <c r="AD356" s="75"/>
      <c r="AE356" s="75"/>
      <c r="AF356" s="75"/>
      <c r="AG356" s="75"/>
      <c r="AH356" s="75"/>
      <c r="AI356" s="75"/>
      <c r="AJ356" s="81"/>
      <c r="AK356" s="75"/>
      <c r="AL356" s="75"/>
    </row>
    <row r="357" spans="1:38" s="69" customFormat="1" x14ac:dyDescent="0.25">
      <c r="A357" s="75"/>
      <c r="B357" s="75"/>
      <c r="C357" s="76"/>
      <c r="D357" s="76"/>
      <c r="E357" s="75"/>
      <c r="F357" s="75"/>
      <c r="G357" s="75"/>
      <c r="H357" s="75"/>
      <c r="I357" s="75"/>
      <c r="J357" s="75"/>
      <c r="K357" s="75"/>
      <c r="L357" s="75"/>
      <c r="M357" s="75"/>
      <c r="N357" s="75"/>
      <c r="O357" s="75"/>
      <c r="P357" s="75"/>
      <c r="Q357" s="75"/>
      <c r="R357" s="75"/>
      <c r="S357" s="75"/>
      <c r="T357" s="75"/>
      <c r="U357" s="75"/>
      <c r="V357" s="77"/>
      <c r="W357" s="75"/>
      <c r="X357" s="75"/>
      <c r="Y357" s="75"/>
      <c r="Z357" s="78"/>
      <c r="AA357" s="78"/>
      <c r="AB357" s="75"/>
      <c r="AC357" s="75"/>
      <c r="AD357" s="75"/>
      <c r="AE357" s="75"/>
      <c r="AF357" s="75"/>
      <c r="AG357" s="75"/>
      <c r="AH357" s="75"/>
      <c r="AI357" s="75"/>
      <c r="AJ357" s="81"/>
      <c r="AK357" s="75"/>
      <c r="AL357" s="75"/>
    </row>
    <row r="358" spans="1:38" s="69" customFormat="1" x14ac:dyDescent="0.25">
      <c r="A358" s="75"/>
      <c r="B358" s="75"/>
      <c r="C358" s="76"/>
      <c r="D358" s="76"/>
      <c r="E358" s="75"/>
      <c r="F358" s="75"/>
      <c r="G358" s="75"/>
      <c r="H358" s="75"/>
      <c r="I358" s="75"/>
      <c r="J358" s="75"/>
      <c r="K358" s="75"/>
      <c r="L358" s="75"/>
      <c r="M358" s="75"/>
      <c r="N358" s="75"/>
      <c r="O358" s="75"/>
      <c r="P358" s="75"/>
      <c r="Q358" s="75"/>
      <c r="R358" s="75"/>
      <c r="S358" s="75"/>
      <c r="T358" s="75"/>
      <c r="U358" s="75"/>
      <c r="V358" s="77"/>
      <c r="W358" s="75"/>
      <c r="X358" s="75"/>
      <c r="Y358" s="75"/>
      <c r="Z358" s="78"/>
      <c r="AA358" s="78"/>
      <c r="AB358" s="75"/>
      <c r="AC358" s="75"/>
      <c r="AD358" s="75"/>
      <c r="AE358" s="75"/>
      <c r="AF358" s="75"/>
      <c r="AG358" s="75"/>
      <c r="AH358" s="75"/>
      <c r="AI358" s="75"/>
      <c r="AJ358" s="81"/>
      <c r="AK358" s="75"/>
      <c r="AL358" s="75"/>
    </row>
    <row r="359" spans="1:38" s="69" customFormat="1" x14ac:dyDescent="0.25">
      <c r="A359" s="75"/>
      <c r="B359" s="75"/>
      <c r="C359" s="76"/>
      <c r="D359" s="76"/>
      <c r="E359" s="75"/>
      <c r="F359" s="75"/>
      <c r="G359" s="75"/>
      <c r="H359" s="75"/>
      <c r="I359" s="75"/>
      <c r="J359" s="75"/>
      <c r="K359" s="75"/>
      <c r="L359" s="75"/>
      <c r="M359" s="75"/>
      <c r="N359" s="75"/>
      <c r="O359" s="75"/>
      <c r="P359" s="75"/>
      <c r="Q359" s="75"/>
      <c r="R359" s="75"/>
      <c r="S359" s="75"/>
      <c r="T359" s="75"/>
      <c r="U359" s="75"/>
      <c r="V359" s="77"/>
      <c r="W359" s="75"/>
      <c r="X359" s="75"/>
      <c r="Y359" s="75"/>
      <c r="Z359" s="78"/>
      <c r="AA359" s="78"/>
      <c r="AB359" s="75"/>
      <c r="AC359" s="75"/>
      <c r="AD359" s="75"/>
      <c r="AE359" s="75"/>
      <c r="AF359" s="75"/>
      <c r="AG359" s="75"/>
      <c r="AH359" s="75"/>
      <c r="AI359" s="75"/>
      <c r="AJ359" s="81"/>
      <c r="AK359" s="75"/>
      <c r="AL359" s="75"/>
    </row>
    <row r="360" spans="1:38" s="69" customFormat="1" x14ac:dyDescent="0.25">
      <c r="A360" s="75"/>
      <c r="B360" s="75"/>
      <c r="C360" s="76"/>
      <c r="D360" s="76"/>
      <c r="E360" s="75"/>
      <c r="F360" s="75"/>
      <c r="G360" s="75"/>
      <c r="H360" s="75"/>
      <c r="I360" s="75"/>
      <c r="J360" s="75"/>
      <c r="K360" s="75"/>
      <c r="L360" s="75"/>
      <c r="M360" s="75"/>
      <c r="N360" s="75"/>
      <c r="O360" s="75"/>
      <c r="P360" s="75"/>
      <c r="Q360" s="75"/>
      <c r="R360" s="75"/>
      <c r="S360" s="75"/>
      <c r="T360" s="75"/>
      <c r="U360" s="75"/>
      <c r="V360" s="77"/>
      <c r="W360" s="75"/>
      <c r="X360" s="75"/>
      <c r="Y360" s="75"/>
      <c r="Z360" s="78"/>
      <c r="AA360" s="78"/>
      <c r="AB360" s="75"/>
      <c r="AC360" s="75"/>
      <c r="AD360" s="75"/>
      <c r="AE360" s="75"/>
      <c r="AF360" s="75"/>
      <c r="AG360" s="75"/>
      <c r="AH360" s="75"/>
      <c r="AI360" s="75"/>
      <c r="AJ360" s="81"/>
      <c r="AK360" s="75"/>
      <c r="AL360" s="75"/>
    </row>
    <row r="361" spans="1:38" s="69" customFormat="1" x14ac:dyDescent="0.25">
      <c r="A361" s="75"/>
      <c r="B361" s="75"/>
      <c r="C361" s="76"/>
      <c r="D361" s="76"/>
      <c r="E361" s="75"/>
      <c r="F361" s="75"/>
      <c r="G361" s="75"/>
      <c r="H361" s="75"/>
      <c r="I361" s="75"/>
      <c r="J361" s="75"/>
      <c r="K361" s="75"/>
      <c r="L361" s="75"/>
      <c r="M361" s="75"/>
      <c r="N361" s="75"/>
      <c r="O361" s="75"/>
      <c r="P361" s="75"/>
      <c r="Q361" s="75"/>
      <c r="R361" s="75"/>
      <c r="S361" s="75"/>
      <c r="T361" s="75"/>
      <c r="U361" s="75"/>
      <c r="V361" s="77"/>
      <c r="W361" s="75"/>
      <c r="X361" s="75"/>
      <c r="Y361" s="75"/>
      <c r="Z361" s="78"/>
      <c r="AA361" s="78"/>
      <c r="AB361" s="75"/>
      <c r="AC361" s="75"/>
      <c r="AD361" s="75"/>
      <c r="AE361" s="75"/>
      <c r="AF361" s="75"/>
      <c r="AG361" s="75"/>
      <c r="AH361" s="75"/>
      <c r="AI361" s="75"/>
      <c r="AJ361" s="81"/>
      <c r="AK361" s="75"/>
      <c r="AL361" s="75"/>
    </row>
    <row r="362" spans="1:38" s="69" customFormat="1" x14ac:dyDescent="0.25">
      <c r="A362" s="75"/>
      <c r="B362" s="75"/>
      <c r="C362" s="76"/>
      <c r="D362" s="76"/>
      <c r="E362" s="75"/>
      <c r="F362" s="75"/>
      <c r="G362" s="75"/>
      <c r="H362" s="75"/>
      <c r="I362" s="75"/>
      <c r="J362" s="75"/>
      <c r="K362" s="75"/>
      <c r="L362" s="75"/>
      <c r="M362" s="75"/>
      <c r="N362" s="75"/>
      <c r="O362" s="75"/>
      <c r="P362" s="75"/>
      <c r="Q362" s="75"/>
      <c r="R362" s="75"/>
      <c r="S362" s="75"/>
      <c r="T362" s="75"/>
      <c r="U362" s="75"/>
      <c r="V362" s="77"/>
      <c r="W362" s="75"/>
      <c r="X362" s="75"/>
      <c r="Y362" s="75"/>
      <c r="Z362" s="78"/>
      <c r="AA362" s="78"/>
      <c r="AB362" s="75"/>
      <c r="AC362" s="75"/>
      <c r="AD362" s="75"/>
      <c r="AE362" s="75"/>
      <c r="AF362" s="75"/>
      <c r="AG362" s="75"/>
      <c r="AH362" s="75"/>
      <c r="AI362" s="75"/>
      <c r="AJ362" s="81"/>
      <c r="AK362" s="75"/>
      <c r="AL362" s="75"/>
    </row>
    <row r="363" spans="1:38" s="69" customFormat="1" x14ac:dyDescent="0.25">
      <c r="A363" s="75"/>
      <c r="B363" s="75"/>
      <c r="C363" s="76"/>
      <c r="D363" s="76"/>
      <c r="E363" s="75"/>
      <c r="F363" s="75"/>
      <c r="G363" s="75"/>
      <c r="H363" s="75"/>
      <c r="I363" s="75"/>
      <c r="J363" s="75"/>
      <c r="K363" s="75"/>
      <c r="L363" s="75"/>
      <c r="M363" s="75"/>
      <c r="N363" s="75"/>
      <c r="O363" s="75"/>
      <c r="P363" s="75"/>
      <c r="Q363" s="75"/>
      <c r="R363" s="75"/>
      <c r="S363" s="75"/>
      <c r="T363" s="75"/>
      <c r="U363" s="75"/>
      <c r="V363" s="77"/>
      <c r="W363" s="75"/>
      <c r="X363" s="75"/>
      <c r="Y363" s="75"/>
      <c r="Z363" s="78"/>
      <c r="AA363" s="78"/>
      <c r="AB363" s="75"/>
      <c r="AC363" s="75"/>
      <c r="AD363" s="75"/>
      <c r="AE363" s="75"/>
      <c r="AF363" s="75"/>
      <c r="AG363" s="75"/>
      <c r="AH363" s="75"/>
      <c r="AI363" s="75"/>
      <c r="AJ363" s="81"/>
      <c r="AK363" s="75"/>
      <c r="AL363" s="75"/>
    </row>
    <row r="364" spans="1:38" s="69" customFormat="1" x14ac:dyDescent="0.25">
      <c r="A364" s="75"/>
      <c r="B364" s="75"/>
      <c r="C364" s="76"/>
      <c r="D364" s="76"/>
      <c r="E364" s="75"/>
      <c r="F364" s="75"/>
      <c r="G364" s="75"/>
      <c r="H364" s="75"/>
      <c r="I364" s="75"/>
      <c r="J364" s="75"/>
      <c r="K364" s="75"/>
      <c r="L364" s="75"/>
      <c r="M364" s="75"/>
      <c r="N364" s="75"/>
      <c r="O364" s="75"/>
      <c r="P364" s="75"/>
      <c r="Q364" s="75"/>
      <c r="R364" s="75"/>
      <c r="S364" s="75"/>
      <c r="T364" s="75"/>
      <c r="U364" s="75"/>
      <c r="V364" s="77"/>
      <c r="W364" s="75"/>
      <c r="X364" s="75"/>
      <c r="Y364" s="75"/>
      <c r="Z364" s="78"/>
      <c r="AA364" s="78"/>
      <c r="AB364" s="75"/>
      <c r="AC364" s="75"/>
      <c r="AD364" s="75"/>
      <c r="AE364" s="75"/>
      <c r="AF364" s="75"/>
      <c r="AG364" s="75"/>
      <c r="AH364" s="75"/>
      <c r="AI364" s="75"/>
      <c r="AJ364" s="81"/>
      <c r="AK364" s="75"/>
      <c r="AL364" s="75"/>
    </row>
    <row r="365" spans="1:38" s="69" customFormat="1" x14ac:dyDescent="0.25">
      <c r="A365" s="75"/>
      <c r="B365" s="75"/>
      <c r="C365" s="76"/>
      <c r="D365" s="76"/>
      <c r="E365" s="75"/>
      <c r="F365" s="75"/>
      <c r="G365" s="75"/>
      <c r="H365" s="75"/>
      <c r="I365" s="75"/>
      <c r="J365" s="75"/>
      <c r="K365" s="75"/>
      <c r="L365" s="75"/>
      <c r="M365" s="75"/>
      <c r="N365" s="75"/>
      <c r="O365" s="75"/>
      <c r="P365" s="75"/>
      <c r="Q365" s="75"/>
      <c r="R365" s="75"/>
      <c r="S365" s="75"/>
      <c r="T365" s="75"/>
      <c r="U365" s="75"/>
      <c r="V365" s="77"/>
      <c r="W365" s="75"/>
      <c r="X365" s="75"/>
      <c r="Y365" s="75"/>
      <c r="Z365" s="78"/>
      <c r="AA365" s="78"/>
      <c r="AB365" s="75"/>
      <c r="AC365" s="75"/>
      <c r="AD365" s="75"/>
      <c r="AE365" s="75"/>
      <c r="AF365" s="75"/>
      <c r="AG365" s="75"/>
      <c r="AH365" s="75"/>
      <c r="AI365" s="75"/>
      <c r="AJ365" s="81"/>
      <c r="AK365" s="75"/>
      <c r="AL365" s="75"/>
    </row>
    <row r="366" spans="1:38" s="69" customFormat="1" x14ac:dyDescent="0.25">
      <c r="A366" s="75"/>
      <c r="B366" s="75"/>
      <c r="C366" s="76"/>
      <c r="D366" s="76"/>
      <c r="E366" s="75"/>
      <c r="F366" s="75"/>
      <c r="G366" s="75"/>
      <c r="H366" s="75"/>
      <c r="I366" s="75"/>
      <c r="J366" s="75"/>
      <c r="K366" s="75"/>
      <c r="L366" s="75"/>
      <c r="M366" s="75"/>
      <c r="N366" s="75"/>
      <c r="O366" s="75"/>
      <c r="P366" s="75"/>
      <c r="Q366" s="75"/>
      <c r="R366" s="75"/>
      <c r="S366" s="75"/>
      <c r="T366" s="75"/>
      <c r="U366" s="75"/>
      <c r="V366" s="77"/>
      <c r="W366" s="75"/>
      <c r="X366" s="75"/>
      <c r="Y366" s="75"/>
      <c r="Z366" s="78"/>
      <c r="AA366" s="78"/>
      <c r="AB366" s="75"/>
      <c r="AJ366" s="72"/>
    </row>
    <row r="367" spans="1:38" s="69" customFormat="1" x14ac:dyDescent="0.25">
      <c r="A367" s="75"/>
      <c r="B367" s="75"/>
      <c r="C367" s="76"/>
      <c r="D367" s="76"/>
      <c r="E367" s="75"/>
      <c r="F367" s="75"/>
      <c r="G367" s="75"/>
      <c r="H367" s="75"/>
      <c r="I367" s="75"/>
      <c r="J367" s="75"/>
      <c r="K367" s="75"/>
      <c r="L367" s="75"/>
      <c r="M367" s="75"/>
      <c r="N367" s="75"/>
      <c r="O367" s="75"/>
      <c r="P367" s="75"/>
      <c r="Q367" s="75"/>
      <c r="R367" s="75"/>
      <c r="S367" s="75"/>
      <c r="T367" s="75"/>
      <c r="U367" s="75"/>
      <c r="V367" s="77"/>
      <c r="W367" s="75"/>
      <c r="X367" s="75"/>
      <c r="Y367" s="75"/>
      <c r="Z367" s="78"/>
      <c r="AA367" s="78"/>
      <c r="AB367" s="75"/>
      <c r="AJ367" s="72"/>
    </row>
    <row r="368" spans="1:38" s="69" customFormat="1" x14ac:dyDescent="0.25">
      <c r="A368" s="75"/>
      <c r="B368" s="75"/>
      <c r="C368" s="76"/>
      <c r="D368" s="76"/>
      <c r="E368" s="75"/>
      <c r="F368" s="75"/>
      <c r="G368" s="75"/>
      <c r="H368" s="75"/>
      <c r="I368" s="75"/>
      <c r="J368" s="75"/>
      <c r="K368" s="75"/>
      <c r="L368" s="75"/>
      <c r="M368" s="75"/>
      <c r="N368" s="75"/>
      <c r="O368" s="75"/>
      <c r="P368" s="75"/>
      <c r="Q368" s="75"/>
      <c r="R368" s="75"/>
      <c r="S368" s="75"/>
      <c r="T368" s="75"/>
      <c r="U368" s="75"/>
      <c r="V368" s="77"/>
      <c r="W368" s="75"/>
      <c r="X368" s="75"/>
      <c r="Y368" s="75"/>
      <c r="Z368" s="78"/>
      <c r="AA368" s="78"/>
      <c r="AB368" s="75"/>
      <c r="AJ368" s="72"/>
    </row>
    <row r="369" spans="1:36" s="69" customFormat="1" x14ac:dyDescent="0.25">
      <c r="A369" s="75"/>
      <c r="B369" s="75"/>
      <c r="C369" s="76"/>
      <c r="D369" s="76"/>
      <c r="E369" s="75"/>
      <c r="F369" s="75"/>
      <c r="G369" s="75"/>
      <c r="H369" s="75"/>
      <c r="I369" s="75"/>
      <c r="J369" s="75"/>
      <c r="K369" s="75"/>
      <c r="L369" s="75"/>
      <c r="M369" s="75"/>
      <c r="N369" s="75"/>
      <c r="O369" s="75"/>
      <c r="P369" s="75"/>
      <c r="Q369" s="75"/>
      <c r="R369" s="75"/>
      <c r="S369" s="75"/>
      <c r="T369" s="75"/>
      <c r="U369" s="75"/>
      <c r="V369" s="77"/>
      <c r="W369" s="75"/>
      <c r="X369" s="75"/>
      <c r="Y369" s="75"/>
      <c r="Z369" s="78"/>
      <c r="AA369" s="78"/>
      <c r="AB369" s="75"/>
      <c r="AJ369" s="72"/>
    </row>
    <row r="370" spans="1:36" s="69" customFormat="1" x14ac:dyDescent="0.25">
      <c r="A370" s="75"/>
      <c r="B370" s="75"/>
      <c r="C370" s="76"/>
      <c r="D370" s="76"/>
      <c r="E370" s="75"/>
      <c r="F370" s="75"/>
      <c r="G370" s="75"/>
      <c r="H370" s="75"/>
      <c r="I370" s="75"/>
      <c r="J370" s="75"/>
      <c r="K370" s="75"/>
      <c r="L370" s="75"/>
      <c r="M370" s="75"/>
      <c r="N370" s="75"/>
      <c r="O370" s="75"/>
      <c r="P370" s="75"/>
      <c r="Q370" s="75"/>
      <c r="R370" s="75"/>
      <c r="S370" s="75"/>
      <c r="T370" s="75"/>
      <c r="U370" s="75"/>
      <c r="V370" s="77"/>
      <c r="W370" s="75"/>
      <c r="X370" s="75"/>
      <c r="Y370" s="75"/>
      <c r="Z370" s="78"/>
      <c r="AA370" s="78"/>
      <c r="AB370" s="75"/>
      <c r="AJ370" s="72"/>
    </row>
    <row r="371" spans="1:36" s="69" customFormat="1" x14ac:dyDescent="0.25">
      <c r="A371" s="75"/>
      <c r="B371" s="75"/>
      <c r="C371" s="76"/>
      <c r="D371" s="76"/>
      <c r="E371" s="75"/>
      <c r="F371" s="75"/>
      <c r="G371" s="75"/>
      <c r="H371" s="75"/>
      <c r="I371" s="75"/>
      <c r="J371" s="75"/>
      <c r="K371" s="75"/>
      <c r="L371" s="75"/>
      <c r="M371" s="75"/>
      <c r="N371" s="75"/>
      <c r="O371" s="75"/>
      <c r="P371" s="75"/>
      <c r="Q371" s="75"/>
      <c r="R371" s="75"/>
      <c r="S371" s="75"/>
      <c r="T371" s="75"/>
      <c r="U371" s="75"/>
      <c r="V371" s="77"/>
      <c r="W371" s="75"/>
      <c r="X371" s="75"/>
      <c r="Y371" s="75"/>
      <c r="Z371" s="78"/>
      <c r="AA371" s="78"/>
      <c r="AB371" s="75"/>
      <c r="AJ371" s="72"/>
    </row>
    <row r="372" spans="1:36" s="69" customFormat="1" x14ac:dyDescent="0.25">
      <c r="A372" s="75"/>
      <c r="B372" s="75"/>
      <c r="C372" s="76"/>
      <c r="D372" s="76"/>
      <c r="E372" s="75"/>
      <c r="F372" s="75"/>
      <c r="G372" s="75"/>
      <c r="H372" s="75"/>
      <c r="I372" s="75"/>
      <c r="J372" s="75"/>
      <c r="K372" s="75"/>
      <c r="L372" s="75"/>
      <c r="M372" s="75"/>
      <c r="N372" s="75"/>
      <c r="O372" s="75"/>
      <c r="P372" s="75"/>
      <c r="Q372" s="75"/>
      <c r="R372" s="75"/>
      <c r="S372" s="75"/>
      <c r="T372" s="75"/>
      <c r="U372" s="75"/>
      <c r="V372" s="77"/>
      <c r="W372" s="75"/>
      <c r="X372" s="75"/>
      <c r="Y372" s="75"/>
      <c r="Z372" s="78"/>
      <c r="AA372" s="78"/>
      <c r="AB372" s="75"/>
      <c r="AJ372" s="72"/>
    </row>
    <row r="373" spans="1:36" s="69" customFormat="1" x14ac:dyDescent="0.25">
      <c r="A373" s="75"/>
      <c r="B373" s="75"/>
      <c r="C373" s="76"/>
      <c r="D373" s="76"/>
      <c r="E373" s="75"/>
      <c r="F373" s="75"/>
      <c r="G373" s="75"/>
      <c r="H373" s="75"/>
      <c r="I373" s="75"/>
      <c r="J373" s="75"/>
      <c r="K373" s="75"/>
      <c r="L373" s="75"/>
      <c r="M373" s="75"/>
      <c r="N373" s="75"/>
      <c r="O373" s="75"/>
      <c r="P373" s="75"/>
      <c r="Q373" s="75"/>
      <c r="R373" s="75"/>
      <c r="S373" s="75"/>
      <c r="T373" s="75"/>
      <c r="U373" s="75"/>
      <c r="V373" s="77"/>
      <c r="W373" s="75"/>
      <c r="X373" s="75"/>
      <c r="Y373" s="75"/>
      <c r="Z373" s="78"/>
      <c r="AA373" s="78"/>
      <c r="AB373" s="75"/>
      <c r="AJ373" s="72"/>
    </row>
    <row r="374" spans="1:36" s="69" customFormat="1" x14ac:dyDescent="0.25">
      <c r="A374" s="75"/>
      <c r="B374" s="75"/>
      <c r="C374" s="76"/>
      <c r="D374" s="76"/>
      <c r="E374" s="75"/>
      <c r="F374" s="75"/>
      <c r="G374" s="75"/>
      <c r="H374" s="75"/>
      <c r="I374" s="75"/>
      <c r="J374" s="75"/>
      <c r="K374" s="75"/>
      <c r="L374" s="75"/>
      <c r="M374" s="75"/>
      <c r="N374" s="75"/>
      <c r="O374" s="75"/>
      <c r="P374" s="75"/>
      <c r="Q374" s="75"/>
      <c r="R374" s="75"/>
      <c r="S374" s="75"/>
      <c r="T374" s="75"/>
      <c r="U374" s="75"/>
      <c r="V374" s="77"/>
      <c r="W374" s="75"/>
      <c r="X374" s="75"/>
      <c r="Y374" s="75"/>
      <c r="Z374" s="78"/>
      <c r="AA374" s="78"/>
      <c r="AB374" s="75"/>
      <c r="AJ374" s="72"/>
    </row>
    <row r="375" spans="1:36" s="69" customFormat="1" x14ac:dyDescent="0.25">
      <c r="A375" s="75"/>
      <c r="B375" s="75"/>
      <c r="C375" s="76"/>
      <c r="D375" s="76"/>
      <c r="E375" s="75"/>
      <c r="F375" s="75"/>
      <c r="G375" s="75"/>
      <c r="H375" s="75"/>
      <c r="I375" s="75"/>
      <c r="J375" s="75"/>
      <c r="K375" s="75"/>
      <c r="L375" s="75"/>
      <c r="M375" s="75"/>
      <c r="N375" s="75"/>
      <c r="O375" s="75"/>
      <c r="P375" s="75"/>
      <c r="Q375" s="75"/>
      <c r="R375" s="75"/>
      <c r="S375" s="75"/>
      <c r="T375" s="75"/>
      <c r="U375" s="75"/>
      <c r="V375" s="77"/>
      <c r="W375" s="75"/>
      <c r="X375" s="75"/>
      <c r="Y375" s="75"/>
      <c r="Z375" s="78"/>
      <c r="AA375" s="78"/>
      <c r="AB375" s="75"/>
      <c r="AJ375" s="72"/>
    </row>
    <row r="376" spans="1:36" s="69" customFormat="1" x14ac:dyDescent="0.25">
      <c r="A376" s="75"/>
      <c r="B376" s="75"/>
      <c r="C376" s="76"/>
      <c r="D376" s="76"/>
      <c r="E376" s="75"/>
      <c r="F376" s="75"/>
      <c r="G376" s="75"/>
      <c r="H376" s="75"/>
      <c r="I376" s="75"/>
      <c r="J376" s="75"/>
      <c r="K376" s="75"/>
      <c r="L376" s="75"/>
      <c r="M376" s="75"/>
      <c r="N376" s="75"/>
      <c r="O376" s="75"/>
      <c r="P376" s="75"/>
      <c r="Q376" s="75"/>
      <c r="R376" s="75"/>
      <c r="S376" s="75"/>
      <c r="T376" s="75"/>
      <c r="U376" s="75"/>
      <c r="V376" s="77"/>
      <c r="W376" s="75"/>
      <c r="X376" s="75"/>
      <c r="Y376" s="75"/>
      <c r="Z376" s="78"/>
      <c r="AA376" s="78"/>
      <c r="AB376" s="75"/>
      <c r="AJ376" s="72"/>
    </row>
    <row r="377" spans="1:36" s="69" customFormat="1" x14ac:dyDescent="0.25">
      <c r="A377" s="75"/>
      <c r="B377" s="75"/>
      <c r="C377" s="76"/>
      <c r="D377" s="76"/>
      <c r="E377" s="75"/>
      <c r="F377" s="75"/>
      <c r="G377" s="75"/>
      <c r="H377" s="75"/>
      <c r="I377" s="75"/>
      <c r="J377" s="75"/>
      <c r="K377" s="75"/>
      <c r="L377" s="75"/>
      <c r="M377" s="75"/>
      <c r="N377" s="75"/>
      <c r="O377" s="75"/>
      <c r="P377" s="75"/>
      <c r="Q377" s="75"/>
      <c r="R377" s="75"/>
      <c r="S377" s="75"/>
      <c r="T377" s="75"/>
      <c r="U377" s="75"/>
      <c r="V377" s="77"/>
      <c r="W377" s="75"/>
      <c r="X377" s="75"/>
      <c r="Y377" s="75"/>
      <c r="Z377" s="78"/>
      <c r="AA377" s="78"/>
      <c r="AB377" s="75"/>
      <c r="AJ377" s="72"/>
    </row>
    <row r="378" spans="1:36" s="69" customFormat="1" x14ac:dyDescent="0.25">
      <c r="A378" s="75"/>
      <c r="B378" s="75"/>
      <c r="C378" s="76"/>
      <c r="D378" s="76"/>
      <c r="E378" s="75"/>
      <c r="F378" s="75"/>
      <c r="G378" s="75"/>
      <c r="H378" s="75"/>
      <c r="I378" s="75"/>
      <c r="J378" s="75"/>
      <c r="K378" s="75"/>
      <c r="L378" s="75"/>
      <c r="M378" s="75"/>
      <c r="N378" s="75"/>
      <c r="O378" s="75"/>
      <c r="P378" s="75"/>
      <c r="Q378" s="75"/>
      <c r="R378" s="75"/>
      <c r="S378" s="75"/>
      <c r="T378" s="75"/>
      <c r="U378" s="75"/>
      <c r="V378" s="77"/>
      <c r="W378" s="75"/>
      <c r="X378" s="75"/>
      <c r="Y378" s="75"/>
      <c r="Z378" s="78"/>
      <c r="AA378" s="78"/>
      <c r="AB378" s="75"/>
      <c r="AJ378" s="72"/>
    </row>
    <row r="379" spans="1:36" s="69" customFormat="1" x14ac:dyDescent="0.25">
      <c r="A379" s="75"/>
      <c r="B379" s="75"/>
      <c r="C379" s="76"/>
      <c r="D379" s="76"/>
      <c r="E379" s="75"/>
      <c r="F379" s="75"/>
      <c r="G379" s="75"/>
      <c r="H379" s="75"/>
      <c r="I379" s="75"/>
      <c r="J379" s="75"/>
      <c r="K379" s="75"/>
      <c r="L379" s="75"/>
      <c r="M379" s="75"/>
      <c r="N379" s="75"/>
      <c r="O379" s="75"/>
      <c r="P379" s="75"/>
      <c r="Q379" s="75"/>
      <c r="R379" s="75"/>
      <c r="S379" s="75"/>
      <c r="T379" s="75"/>
      <c r="U379" s="75"/>
      <c r="V379" s="77"/>
      <c r="W379" s="75"/>
      <c r="X379" s="75"/>
      <c r="Y379" s="75"/>
      <c r="Z379" s="78"/>
      <c r="AA379" s="78"/>
      <c r="AB379" s="75"/>
      <c r="AJ379" s="72"/>
    </row>
    <row r="380" spans="1:36" s="69" customFormat="1" x14ac:dyDescent="0.25">
      <c r="A380" s="75"/>
      <c r="B380" s="75"/>
      <c r="C380" s="76"/>
      <c r="D380" s="76"/>
      <c r="E380" s="75"/>
      <c r="F380" s="75"/>
      <c r="G380" s="75"/>
      <c r="H380" s="75"/>
      <c r="I380" s="75"/>
      <c r="J380" s="75"/>
      <c r="K380" s="75"/>
      <c r="L380" s="75"/>
      <c r="M380" s="75"/>
      <c r="N380" s="75"/>
      <c r="O380" s="75"/>
      <c r="P380" s="75"/>
      <c r="Q380" s="75"/>
      <c r="R380" s="75"/>
      <c r="S380" s="75"/>
      <c r="T380" s="75"/>
      <c r="U380" s="75"/>
      <c r="V380" s="77"/>
      <c r="W380" s="75"/>
      <c r="X380" s="75"/>
      <c r="Y380" s="75"/>
      <c r="Z380" s="78"/>
      <c r="AA380" s="78"/>
      <c r="AB380" s="75"/>
      <c r="AJ380" s="72"/>
    </row>
    <row r="381" spans="1:36" s="69" customFormat="1" x14ac:dyDescent="0.25">
      <c r="A381" s="75"/>
      <c r="B381" s="75"/>
      <c r="C381" s="76"/>
      <c r="D381" s="76"/>
      <c r="E381" s="75"/>
      <c r="F381" s="75"/>
      <c r="G381" s="75"/>
      <c r="H381" s="75"/>
      <c r="I381" s="75"/>
      <c r="J381" s="75"/>
      <c r="K381" s="75"/>
      <c r="L381" s="75"/>
      <c r="M381" s="75"/>
      <c r="N381" s="75"/>
      <c r="O381" s="75"/>
      <c r="P381" s="75"/>
      <c r="Q381" s="75"/>
      <c r="R381" s="75"/>
      <c r="S381" s="75"/>
      <c r="T381" s="75"/>
      <c r="U381" s="75"/>
      <c r="V381" s="77"/>
      <c r="W381" s="75"/>
      <c r="X381" s="75"/>
      <c r="Y381" s="75"/>
      <c r="Z381" s="78"/>
      <c r="AA381" s="78"/>
      <c r="AB381" s="75"/>
      <c r="AJ381" s="72"/>
    </row>
    <row r="382" spans="1:36" s="69" customFormat="1" x14ac:dyDescent="0.25">
      <c r="A382" s="75"/>
      <c r="B382" s="75"/>
      <c r="C382" s="76"/>
      <c r="D382" s="76"/>
      <c r="E382" s="75"/>
      <c r="F382" s="75"/>
      <c r="G382" s="75"/>
      <c r="H382" s="75"/>
      <c r="I382" s="75"/>
      <c r="J382" s="75"/>
      <c r="K382" s="75"/>
      <c r="L382" s="75"/>
      <c r="M382" s="75"/>
      <c r="N382" s="75"/>
      <c r="O382" s="75"/>
      <c r="P382" s="75"/>
      <c r="Q382" s="75"/>
      <c r="R382" s="75"/>
      <c r="S382" s="75"/>
      <c r="T382" s="75"/>
      <c r="U382" s="75"/>
      <c r="V382" s="77"/>
      <c r="W382" s="75"/>
      <c r="X382" s="75"/>
      <c r="Y382" s="75"/>
      <c r="Z382" s="78"/>
      <c r="AA382" s="78"/>
      <c r="AB382" s="75"/>
      <c r="AJ382" s="72"/>
    </row>
    <row r="383" spans="1:36" s="69" customFormat="1" x14ac:dyDescent="0.25">
      <c r="A383" s="75"/>
      <c r="B383" s="75"/>
      <c r="C383" s="76"/>
      <c r="D383" s="76"/>
      <c r="E383" s="75"/>
      <c r="F383" s="75"/>
      <c r="G383" s="75"/>
      <c r="H383" s="75"/>
      <c r="I383" s="75"/>
      <c r="J383" s="75"/>
      <c r="K383" s="75"/>
      <c r="L383" s="75"/>
      <c r="M383" s="75"/>
      <c r="N383" s="75"/>
      <c r="O383" s="75"/>
      <c r="P383" s="75"/>
      <c r="Q383" s="75"/>
      <c r="R383" s="75"/>
      <c r="S383" s="75"/>
      <c r="T383" s="75"/>
      <c r="U383" s="75"/>
      <c r="V383" s="77"/>
      <c r="W383" s="75"/>
      <c r="X383" s="75"/>
      <c r="Y383" s="75"/>
      <c r="Z383" s="78"/>
      <c r="AA383" s="78"/>
      <c r="AB383" s="75"/>
      <c r="AJ383" s="72"/>
    </row>
    <row r="384" spans="1:36" s="69" customFormat="1" x14ac:dyDescent="0.25">
      <c r="A384" s="75"/>
      <c r="B384" s="75"/>
      <c r="C384" s="76"/>
      <c r="D384" s="76"/>
      <c r="E384" s="75"/>
      <c r="F384" s="75"/>
      <c r="G384" s="75"/>
      <c r="H384" s="75"/>
      <c r="I384" s="75"/>
      <c r="J384" s="75"/>
      <c r="K384" s="75"/>
      <c r="L384" s="75"/>
      <c r="M384" s="75"/>
      <c r="N384" s="75"/>
      <c r="O384" s="75"/>
      <c r="P384" s="75"/>
      <c r="Q384" s="75"/>
      <c r="R384" s="75"/>
      <c r="S384" s="75"/>
      <c r="T384" s="75"/>
      <c r="U384" s="75"/>
      <c r="V384" s="77"/>
      <c r="W384" s="75"/>
      <c r="X384" s="75"/>
      <c r="Y384" s="75"/>
      <c r="Z384" s="78"/>
      <c r="AA384" s="78"/>
      <c r="AB384" s="75"/>
      <c r="AJ384" s="72"/>
    </row>
    <row r="385" spans="1:36" s="69" customFormat="1" x14ac:dyDescent="0.25">
      <c r="A385" s="75"/>
      <c r="B385" s="75"/>
      <c r="C385" s="76"/>
      <c r="D385" s="76"/>
      <c r="E385" s="75"/>
      <c r="F385" s="75"/>
      <c r="G385" s="75"/>
      <c r="H385" s="75"/>
      <c r="I385" s="75"/>
      <c r="J385" s="75"/>
      <c r="K385" s="75"/>
      <c r="L385" s="75"/>
      <c r="M385" s="75"/>
      <c r="N385" s="75"/>
      <c r="O385" s="75"/>
      <c r="P385" s="75"/>
      <c r="Q385" s="75"/>
      <c r="R385" s="75"/>
      <c r="S385" s="75"/>
      <c r="T385" s="75"/>
      <c r="U385" s="75"/>
      <c r="V385" s="77"/>
      <c r="W385" s="75"/>
      <c r="X385" s="75"/>
      <c r="Y385" s="75"/>
      <c r="Z385" s="78"/>
      <c r="AA385" s="78"/>
      <c r="AB385" s="75"/>
      <c r="AJ385" s="72"/>
    </row>
    <row r="386" spans="1:36" s="69" customFormat="1" x14ac:dyDescent="0.25">
      <c r="A386" s="75"/>
      <c r="B386" s="75"/>
      <c r="C386" s="76"/>
      <c r="D386" s="76"/>
      <c r="E386" s="75"/>
      <c r="F386" s="75"/>
      <c r="G386" s="75"/>
      <c r="H386" s="75"/>
      <c r="I386" s="75"/>
      <c r="J386" s="75"/>
      <c r="K386" s="75"/>
      <c r="L386" s="75"/>
      <c r="M386" s="75"/>
      <c r="N386" s="75"/>
      <c r="O386" s="75"/>
      <c r="P386" s="75"/>
      <c r="Q386" s="75"/>
      <c r="R386" s="75"/>
      <c r="S386" s="75"/>
      <c r="T386" s="75"/>
      <c r="U386" s="75"/>
      <c r="V386" s="77"/>
      <c r="W386" s="75"/>
      <c r="X386" s="75"/>
      <c r="Y386" s="75"/>
      <c r="Z386" s="78"/>
      <c r="AA386" s="78"/>
      <c r="AB386" s="75"/>
      <c r="AJ386" s="72"/>
    </row>
    <row r="387" spans="1:36" s="69" customFormat="1" x14ac:dyDescent="0.25">
      <c r="A387" s="75"/>
      <c r="B387" s="75"/>
      <c r="C387" s="76"/>
      <c r="D387" s="76"/>
      <c r="E387" s="75"/>
      <c r="F387" s="75"/>
      <c r="G387" s="75"/>
      <c r="H387" s="75"/>
      <c r="I387" s="75"/>
      <c r="J387" s="75"/>
      <c r="K387" s="75"/>
      <c r="L387" s="75"/>
      <c r="M387" s="75"/>
      <c r="N387" s="75"/>
      <c r="O387" s="75"/>
      <c r="P387" s="75"/>
      <c r="Q387" s="75"/>
      <c r="R387" s="75"/>
      <c r="S387" s="75"/>
      <c r="T387" s="75"/>
      <c r="U387" s="75"/>
      <c r="V387" s="77"/>
      <c r="W387" s="75"/>
      <c r="X387" s="75"/>
      <c r="Y387" s="75"/>
      <c r="Z387" s="78"/>
      <c r="AA387" s="78"/>
      <c r="AB387" s="75"/>
      <c r="AJ387" s="72"/>
    </row>
    <row r="388" spans="1:36" s="69" customFormat="1" x14ac:dyDescent="0.25">
      <c r="A388" s="75"/>
      <c r="B388" s="75"/>
      <c r="C388" s="76"/>
      <c r="D388" s="76"/>
      <c r="E388" s="75"/>
      <c r="F388" s="75"/>
      <c r="G388" s="75"/>
      <c r="H388" s="75"/>
      <c r="I388" s="75"/>
      <c r="J388" s="75"/>
      <c r="K388" s="75"/>
      <c r="L388" s="75"/>
      <c r="M388" s="75"/>
      <c r="N388" s="75"/>
      <c r="O388" s="75"/>
      <c r="P388" s="75"/>
      <c r="Q388" s="75"/>
      <c r="R388" s="75"/>
      <c r="S388" s="75"/>
      <c r="T388" s="75"/>
      <c r="U388" s="75"/>
      <c r="V388" s="77"/>
      <c r="W388" s="75"/>
      <c r="X388" s="75"/>
      <c r="Y388" s="75"/>
      <c r="Z388" s="78"/>
      <c r="AA388" s="78"/>
      <c r="AB388" s="75"/>
      <c r="AJ388" s="72"/>
    </row>
    <row r="389" spans="1:36" s="69" customFormat="1" x14ac:dyDescent="0.25">
      <c r="A389" s="75"/>
      <c r="B389" s="75"/>
      <c r="C389" s="76"/>
      <c r="D389" s="76"/>
      <c r="E389" s="75"/>
      <c r="F389" s="75"/>
      <c r="G389" s="75"/>
      <c r="H389" s="75"/>
      <c r="I389" s="75"/>
      <c r="J389" s="75"/>
      <c r="K389" s="75"/>
      <c r="L389" s="75"/>
      <c r="M389" s="75"/>
      <c r="N389" s="75"/>
      <c r="O389" s="75"/>
      <c r="P389" s="75"/>
      <c r="Q389" s="75"/>
      <c r="R389" s="75"/>
      <c r="S389" s="75"/>
      <c r="T389" s="75"/>
      <c r="U389" s="75"/>
      <c r="V389" s="77"/>
      <c r="W389" s="75"/>
      <c r="X389" s="75"/>
      <c r="Y389" s="75"/>
      <c r="Z389" s="78"/>
      <c r="AA389" s="78"/>
      <c r="AB389" s="75"/>
      <c r="AJ389" s="72"/>
    </row>
    <row r="390" spans="1:36" s="69" customFormat="1" x14ac:dyDescent="0.25">
      <c r="A390" s="75"/>
      <c r="B390" s="75"/>
      <c r="C390" s="76"/>
      <c r="D390" s="76"/>
      <c r="E390" s="75"/>
      <c r="F390" s="75"/>
      <c r="G390" s="75"/>
      <c r="H390" s="75"/>
      <c r="I390" s="75"/>
      <c r="J390" s="75"/>
      <c r="K390" s="75"/>
      <c r="L390" s="75"/>
      <c r="M390" s="75"/>
      <c r="N390" s="75"/>
      <c r="O390" s="75"/>
      <c r="P390" s="75"/>
      <c r="Q390" s="75"/>
      <c r="R390" s="75"/>
      <c r="S390" s="75"/>
      <c r="T390" s="75"/>
      <c r="U390" s="75"/>
      <c r="V390" s="77"/>
      <c r="W390" s="75"/>
      <c r="X390" s="75"/>
      <c r="Y390" s="75"/>
      <c r="Z390" s="78"/>
      <c r="AA390" s="78"/>
      <c r="AB390" s="75"/>
      <c r="AJ390" s="72"/>
    </row>
    <row r="391" spans="1:36" s="69" customFormat="1" x14ac:dyDescent="0.25">
      <c r="A391" s="75"/>
      <c r="B391" s="75"/>
      <c r="C391" s="76"/>
      <c r="D391" s="76"/>
      <c r="E391" s="75"/>
      <c r="F391" s="75"/>
      <c r="G391" s="75"/>
      <c r="H391" s="75"/>
      <c r="I391" s="75"/>
      <c r="J391" s="75"/>
      <c r="K391" s="75"/>
      <c r="L391" s="75"/>
      <c r="M391" s="75"/>
      <c r="N391" s="75"/>
      <c r="O391" s="75"/>
      <c r="P391" s="75"/>
      <c r="Q391" s="75"/>
      <c r="R391" s="75"/>
      <c r="S391" s="75"/>
      <c r="T391" s="75"/>
      <c r="U391" s="75"/>
      <c r="V391" s="77"/>
      <c r="W391" s="75"/>
      <c r="X391" s="75"/>
      <c r="Y391" s="75"/>
      <c r="Z391" s="78"/>
      <c r="AA391" s="78"/>
      <c r="AB391" s="75"/>
      <c r="AJ391" s="72"/>
    </row>
    <row r="392" spans="1:36" s="69" customFormat="1" x14ac:dyDescent="0.25">
      <c r="A392" s="75"/>
      <c r="B392" s="75"/>
      <c r="C392" s="76"/>
      <c r="D392" s="76"/>
      <c r="E392" s="75"/>
      <c r="F392" s="75"/>
      <c r="G392" s="75"/>
      <c r="H392" s="75"/>
      <c r="I392" s="75"/>
      <c r="J392" s="75"/>
      <c r="K392" s="75"/>
      <c r="L392" s="75"/>
      <c r="M392" s="75"/>
      <c r="N392" s="75"/>
      <c r="O392" s="75"/>
      <c r="P392" s="75"/>
      <c r="Q392" s="75"/>
      <c r="R392" s="75"/>
      <c r="S392" s="75"/>
      <c r="T392" s="75"/>
      <c r="U392" s="75"/>
      <c r="V392" s="77"/>
      <c r="W392" s="75"/>
      <c r="X392" s="75"/>
      <c r="Y392" s="75"/>
      <c r="Z392" s="78"/>
      <c r="AA392" s="78"/>
      <c r="AB392" s="75"/>
      <c r="AJ392" s="72"/>
    </row>
    <row r="393" spans="1:36" s="69" customFormat="1" x14ac:dyDescent="0.25">
      <c r="A393" s="75"/>
      <c r="B393" s="75"/>
      <c r="C393" s="76"/>
      <c r="D393" s="76"/>
      <c r="E393" s="75"/>
      <c r="F393" s="75"/>
      <c r="G393" s="75"/>
      <c r="H393" s="75"/>
      <c r="I393" s="75"/>
      <c r="J393" s="75"/>
      <c r="K393" s="75"/>
      <c r="L393" s="75"/>
      <c r="M393" s="75"/>
      <c r="N393" s="75"/>
      <c r="O393" s="75"/>
      <c r="P393" s="75"/>
      <c r="Q393" s="75"/>
      <c r="R393" s="75"/>
      <c r="S393" s="75"/>
      <c r="T393" s="75"/>
      <c r="U393" s="75"/>
      <c r="V393" s="77"/>
      <c r="W393" s="75"/>
      <c r="X393" s="75"/>
      <c r="Y393" s="75"/>
      <c r="Z393" s="78"/>
      <c r="AA393" s="78"/>
      <c r="AB393" s="75"/>
      <c r="AJ393" s="72"/>
    </row>
    <row r="394" spans="1:36" s="69" customFormat="1" x14ac:dyDescent="0.25">
      <c r="A394" s="75"/>
      <c r="B394" s="75"/>
      <c r="C394" s="76"/>
      <c r="D394" s="76"/>
      <c r="E394" s="75"/>
      <c r="F394" s="75"/>
      <c r="G394" s="75"/>
      <c r="H394" s="75"/>
      <c r="I394" s="75"/>
      <c r="J394" s="75"/>
      <c r="K394" s="75"/>
      <c r="L394" s="75"/>
      <c r="M394" s="75"/>
      <c r="N394" s="75"/>
      <c r="O394" s="75"/>
      <c r="P394" s="75"/>
      <c r="Q394" s="75"/>
      <c r="R394" s="75"/>
      <c r="S394" s="75"/>
      <c r="T394" s="75"/>
      <c r="U394" s="75"/>
      <c r="V394" s="77"/>
      <c r="W394" s="75"/>
      <c r="X394" s="75"/>
      <c r="Y394" s="75"/>
      <c r="Z394" s="78"/>
      <c r="AA394" s="78"/>
      <c r="AB394" s="75"/>
      <c r="AJ394" s="72"/>
    </row>
    <row r="395" spans="1:36" s="69" customFormat="1" x14ac:dyDescent="0.25">
      <c r="A395" s="75"/>
      <c r="B395" s="75"/>
      <c r="C395" s="76"/>
      <c r="D395" s="76"/>
      <c r="E395" s="75"/>
      <c r="F395" s="75"/>
      <c r="G395" s="75"/>
      <c r="H395" s="75"/>
      <c r="I395" s="75"/>
      <c r="J395" s="75"/>
      <c r="K395" s="75"/>
      <c r="L395" s="75"/>
      <c r="M395" s="75"/>
      <c r="N395" s="75"/>
      <c r="O395" s="75"/>
      <c r="P395" s="75"/>
      <c r="Q395" s="75"/>
      <c r="R395" s="75"/>
      <c r="S395" s="75"/>
      <c r="T395" s="75"/>
      <c r="U395" s="75"/>
      <c r="V395" s="77"/>
      <c r="W395" s="75"/>
      <c r="X395" s="75"/>
      <c r="Y395" s="75"/>
      <c r="Z395" s="78"/>
      <c r="AA395" s="78"/>
      <c r="AB395" s="75"/>
      <c r="AJ395" s="72"/>
    </row>
    <row r="396" spans="1:36" s="69" customFormat="1" x14ac:dyDescent="0.25">
      <c r="A396" s="75"/>
      <c r="B396" s="75"/>
      <c r="C396" s="76"/>
      <c r="D396" s="76"/>
      <c r="E396" s="75"/>
      <c r="F396" s="75"/>
      <c r="G396" s="75"/>
      <c r="H396" s="75"/>
      <c r="I396" s="75"/>
      <c r="J396" s="75"/>
      <c r="K396" s="75"/>
      <c r="L396" s="75"/>
      <c r="M396" s="75"/>
      <c r="N396" s="75"/>
      <c r="O396" s="75"/>
      <c r="P396" s="75"/>
      <c r="Q396" s="75"/>
      <c r="R396" s="75"/>
      <c r="S396" s="75"/>
      <c r="T396" s="75"/>
      <c r="U396" s="75"/>
      <c r="V396" s="77"/>
      <c r="W396" s="75"/>
      <c r="X396" s="75"/>
      <c r="Y396" s="75"/>
      <c r="Z396" s="78"/>
      <c r="AA396" s="78"/>
      <c r="AB396" s="75"/>
      <c r="AJ396" s="72"/>
    </row>
    <row r="397" spans="1:36" s="69" customFormat="1" x14ac:dyDescent="0.25">
      <c r="A397" s="75"/>
      <c r="B397" s="75"/>
      <c r="C397" s="76"/>
      <c r="D397" s="76"/>
      <c r="E397" s="75"/>
      <c r="F397" s="75"/>
      <c r="G397" s="75"/>
      <c r="H397" s="75"/>
      <c r="I397" s="75"/>
      <c r="J397" s="75"/>
      <c r="K397" s="75"/>
      <c r="L397" s="75"/>
      <c r="M397" s="75"/>
      <c r="N397" s="75"/>
      <c r="O397" s="75"/>
      <c r="P397" s="75"/>
      <c r="Q397" s="75"/>
      <c r="R397" s="75"/>
      <c r="S397" s="75"/>
      <c r="T397" s="75"/>
      <c r="U397" s="75"/>
      <c r="V397" s="77"/>
      <c r="W397" s="75"/>
      <c r="X397" s="75"/>
      <c r="Y397" s="75"/>
      <c r="Z397" s="78"/>
      <c r="AA397" s="78"/>
      <c r="AB397" s="75"/>
      <c r="AJ397" s="72"/>
    </row>
    <row r="398" spans="1:36" s="69" customFormat="1" x14ac:dyDescent="0.25">
      <c r="A398" s="75"/>
      <c r="B398" s="75"/>
      <c r="C398" s="76"/>
      <c r="D398" s="76"/>
      <c r="E398" s="75"/>
      <c r="F398" s="75"/>
      <c r="G398" s="75"/>
      <c r="H398" s="75"/>
      <c r="I398" s="75"/>
      <c r="J398" s="75"/>
      <c r="K398" s="75"/>
      <c r="L398" s="75"/>
      <c r="M398" s="75"/>
      <c r="N398" s="75"/>
      <c r="O398" s="75"/>
      <c r="P398" s="75"/>
      <c r="Q398" s="75"/>
      <c r="R398" s="75"/>
      <c r="S398" s="75"/>
      <c r="T398" s="75"/>
      <c r="U398" s="75"/>
      <c r="V398" s="77"/>
      <c r="W398" s="75"/>
      <c r="X398" s="75"/>
      <c r="Y398" s="75"/>
      <c r="Z398" s="78"/>
      <c r="AA398" s="78"/>
      <c r="AB398" s="75"/>
      <c r="AJ398" s="72"/>
    </row>
    <row r="399" spans="1:36" s="69" customFormat="1" x14ac:dyDescent="0.25">
      <c r="A399" s="75"/>
      <c r="B399" s="75"/>
      <c r="C399" s="76"/>
      <c r="D399" s="76"/>
      <c r="E399" s="75"/>
      <c r="F399" s="75"/>
      <c r="G399" s="75"/>
      <c r="H399" s="75"/>
      <c r="I399" s="75"/>
      <c r="J399" s="75"/>
      <c r="K399" s="75"/>
      <c r="L399" s="75"/>
      <c r="M399" s="75"/>
      <c r="N399" s="75"/>
      <c r="O399" s="75"/>
      <c r="P399" s="75"/>
      <c r="Q399" s="75"/>
      <c r="R399" s="75"/>
      <c r="S399" s="75"/>
      <c r="T399" s="75"/>
      <c r="U399" s="75"/>
      <c r="V399" s="77"/>
      <c r="W399" s="75"/>
      <c r="X399" s="75"/>
      <c r="Y399" s="75"/>
      <c r="Z399" s="78"/>
      <c r="AA399" s="78"/>
      <c r="AB399" s="75"/>
      <c r="AJ399" s="72"/>
    </row>
    <row r="400" spans="1:36" s="69" customFormat="1" x14ac:dyDescent="0.25">
      <c r="A400" s="75"/>
      <c r="B400" s="75"/>
      <c r="C400" s="76"/>
      <c r="D400" s="76"/>
      <c r="E400" s="75"/>
      <c r="F400" s="75"/>
      <c r="G400" s="75"/>
      <c r="H400" s="75"/>
      <c r="I400" s="75"/>
      <c r="J400" s="75"/>
      <c r="K400" s="75"/>
      <c r="L400" s="75"/>
      <c r="M400" s="75"/>
      <c r="N400" s="75"/>
      <c r="O400" s="75"/>
      <c r="P400" s="75"/>
      <c r="Q400" s="75"/>
      <c r="R400" s="75"/>
      <c r="S400" s="75"/>
      <c r="T400" s="75"/>
      <c r="U400" s="75"/>
      <c r="V400" s="77"/>
      <c r="W400" s="75"/>
      <c r="X400" s="75"/>
      <c r="Y400" s="75"/>
      <c r="Z400" s="78"/>
      <c r="AA400" s="78"/>
      <c r="AB400" s="75"/>
      <c r="AJ400" s="72"/>
    </row>
    <row r="401" spans="1:36" s="69" customFormat="1" x14ac:dyDescent="0.25">
      <c r="A401" s="75"/>
      <c r="B401" s="75"/>
      <c r="C401" s="76"/>
      <c r="D401" s="76"/>
      <c r="E401" s="75"/>
      <c r="F401" s="75"/>
      <c r="G401" s="75"/>
      <c r="H401" s="75"/>
      <c r="I401" s="75"/>
      <c r="J401" s="75"/>
      <c r="K401" s="75"/>
      <c r="L401" s="75"/>
      <c r="M401" s="75"/>
      <c r="N401" s="75"/>
      <c r="O401" s="75"/>
      <c r="P401" s="75"/>
      <c r="Q401" s="75"/>
      <c r="R401" s="75"/>
      <c r="S401" s="75"/>
      <c r="T401" s="75"/>
      <c r="U401" s="75"/>
      <c r="V401" s="77"/>
      <c r="W401" s="75"/>
      <c r="X401" s="75"/>
      <c r="Y401" s="75"/>
      <c r="Z401" s="78"/>
      <c r="AA401" s="78"/>
      <c r="AB401" s="75"/>
      <c r="AJ401" s="72"/>
    </row>
    <row r="402" spans="1:36" s="69" customFormat="1" x14ac:dyDescent="0.25">
      <c r="A402" s="75"/>
      <c r="B402" s="75"/>
      <c r="C402" s="76"/>
      <c r="D402" s="76"/>
      <c r="E402" s="75"/>
      <c r="F402" s="75"/>
      <c r="G402" s="75"/>
      <c r="H402" s="75"/>
      <c r="I402" s="75"/>
      <c r="J402" s="75"/>
      <c r="K402" s="75"/>
      <c r="L402" s="75"/>
      <c r="M402" s="75"/>
      <c r="N402" s="75"/>
      <c r="O402" s="75"/>
      <c r="P402" s="75"/>
      <c r="Q402" s="75"/>
      <c r="R402" s="75"/>
      <c r="S402" s="75"/>
      <c r="T402" s="75"/>
      <c r="U402" s="75"/>
      <c r="V402" s="77"/>
      <c r="W402" s="75"/>
      <c r="X402" s="75"/>
      <c r="Y402" s="75"/>
      <c r="Z402" s="78"/>
      <c r="AA402" s="78"/>
      <c r="AB402" s="75"/>
      <c r="AJ402" s="72"/>
    </row>
    <row r="403" spans="1:36" s="69" customFormat="1" x14ac:dyDescent="0.25">
      <c r="A403" s="75"/>
      <c r="B403" s="75"/>
      <c r="C403" s="76"/>
      <c r="D403" s="76"/>
      <c r="E403" s="75"/>
      <c r="F403" s="75"/>
      <c r="G403" s="75"/>
      <c r="H403" s="75"/>
      <c r="I403" s="75"/>
      <c r="J403" s="75"/>
      <c r="K403" s="75"/>
      <c r="L403" s="75"/>
      <c r="M403" s="75"/>
      <c r="N403" s="75"/>
      <c r="O403" s="75"/>
      <c r="P403" s="75"/>
      <c r="Q403" s="75"/>
      <c r="R403" s="75"/>
      <c r="S403" s="75"/>
      <c r="T403" s="75"/>
      <c r="U403" s="75"/>
      <c r="V403" s="77"/>
      <c r="W403" s="75"/>
      <c r="X403" s="75"/>
      <c r="Y403" s="75"/>
      <c r="Z403" s="78"/>
      <c r="AA403" s="78"/>
      <c r="AB403" s="75"/>
      <c r="AJ403" s="72"/>
    </row>
    <row r="404" spans="1:36" s="69" customFormat="1" x14ac:dyDescent="0.25">
      <c r="A404" s="75"/>
      <c r="B404" s="75"/>
      <c r="C404" s="76"/>
      <c r="D404" s="76"/>
      <c r="E404" s="75"/>
      <c r="F404" s="75"/>
      <c r="G404" s="75"/>
      <c r="H404" s="75"/>
      <c r="I404" s="75"/>
      <c r="J404" s="75"/>
      <c r="K404" s="75"/>
      <c r="L404" s="75"/>
      <c r="M404" s="75"/>
      <c r="N404" s="75"/>
      <c r="O404" s="75"/>
      <c r="P404" s="75"/>
      <c r="Q404" s="75"/>
      <c r="R404" s="75"/>
      <c r="S404" s="75"/>
      <c r="T404" s="75"/>
      <c r="U404" s="75"/>
      <c r="V404" s="77"/>
      <c r="W404" s="75"/>
      <c r="X404" s="75"/>
      <c r="Y404" s="75"/>
      <c r="Z404" s="78"/>
      <c r="AA404" s="78"/>
      <c r="AB404" s="75"/>
      <c r="AJ404" s="72"/>
    </row>
    <row r="405" spans="1:36" s="69" customFormat="1" x14ac:dyDescent="0.25">
      <c r="A405" s="75"/>
      <c r="B405" s="75"/>
      <c r="C405" s="76"/>
      <c r="D405" s="76"/>
      <c r="E405" s="75"/>
      <c r="F405" s="75"/>
      <c r="G405" s="75"/>
      <c r="H405" s="75"/>
      <c r="I405" s="75"/>
      <c r="J405" s="75"/>
      <c r="K405" s="75"/>
      <c r="L405" s="75"/>
      <c r="M405" s="75"/>
      <c r="N405" s="75"/>
      <c r="O405" s="75"/>
      <c r="P405" s="75"/>
      <c r="Q405" s="75"/>
      <c r="R405" s="75"/>
      <c r="S405" s="75"/>
      <c r="T405" s="75"/>
      <c r="U405" s="75"/>
      <c r="V405" s="77"/>
      <c r="W405" s="75"/>
      <c r="X405" s="75"/>
      <c r="Y405" s="75"/>
      <c r="Z405" s="78"/>
      <c r="AA405" s="78"/>
      <c r="AB405" s="75"/>
      <c r="AJ405" s="72"/>
    </row>
    <row r="406" spans="1:36" s="69" customFormat="1" x14ac:dyDescent="0.25">
      <c r="A406" s="75"/>
      <c r="B406" s="75"/>
      <c r="C406" s="76"/>
      <c r="D406" s="76"/>
      <c r="E406" s="75"/>
      <c r="F406" s="75"/>
      <c r="G406" s="75"/>
      <c r="H406" s="75"/>
      <c r="I406" s="75"/>
      <c r="J406" s="75"/>
      <c r="K406" s="75"/>
      <c r="L406" s="75"/>
      <c r="M406" s="75"/>
      <c r="N406" s="75"/>
      <c r="O406" s="75"/>
      <c r="P406" s="75"/>
      <c r="Q406" s="75"/>
      <c r="R406" s="75"/>
      <c r="S406" s="75"/>
      <c r="T406" s="75"/>
      <c r="U406" s="75"/>
      <c r="V406" s="77"/>
      <c r="W406" s="75"/>
      <c r="X406" s="75"/>
      <c r="Y406" s="75"/>
      <c r="Z406" s="78"/>
      <c r="AA406" s="78"/>
      <c r="AB406" s="75"/>
      <c r="AJ406" s="72"/>
    </row>
    <row r="407" spans="1:36" s="69" customFormat="1" x14ac:dyDescent="0.25">
      <c r="A407" s="75"/>
      <c r="B407" s="75"/>
      <c r="C407" s="76"/>
      <c r="D407" s="76"/>
      <c r="E407" s="75"/>
      <c r="F407" s="75"/>
      <c r="G407" s="75"/>
      <c r="H407" s="75"/>
      <c r="I407" s="75"/>
      <c r="J407" s="75"/>
      <c r="K407" s="75"/>
      <c r="L407" s="75"/>
      <c r="M407" s="75"/>
      <c r="N407" s="75"/>
      <c r="O407" s="75"/>
      <c r="P407" s="75"/>
      <c r="Q407" s="75"/>
      <c r="R407" s="75"/>
      <c r="S407" s="75"/>
      <c r="T407" s="75"/>
      <c r="U407" s="75"/>
      <c r="V407" s="77"/>
      <c r="W407" s="75"/>
      <c r="X407" s="75"/>
      <c r="Y407" s="75"/>
      <c r="Z407" s="78"/>
      <c r="AA407" s="78"/>
      <c r="AB407" s="75"/>
      <c r="AJ407" s="72"/>
    </row>
    <row r="408" spans="1:36" s="69" customFormat="1" x14ac:dyDescent="0.25">
      <c r="A408" s="75"/>
      <c r="B408" s="75"/>
      <c r="C408" s="76"/>
      <c r="D408" s="76"/>
      <c r="E408" s="75"/>
      <c r="F408" s="75"/>
      <c r="G408" s="75"/>
      <c r="H408" s="75"/>
      <c r="I408" s="75"/>
      <c r="J408" s="75"/>
      <c r="K408" s="75"/>
      <c r="L408" s="75"/>
      <c r="M408" s="75"/>
      <c r="N408" s="75"/>
      <c r="O408" s="75"/>
      <c r="P408" s="75"/>
      <c r="Q408" s="75"/>
      <c r="R408" s="75"/>
      <c r="S408" s="75"/>
      <c r="T408" s="75"/>
      <c r="U408" s="75"/>
      <c r="V408" s="77"/>
      <c r="W408" s="75"/>
      <c r="X408" s="75"/>
      <c r="Y408" s="75"/>
      <c r="Z408" s="78"/>
      <c r="AA408" s="78"/>
      <c r="AB408" s="75"/>
      <c r="AJ408" s="72"/>
    </row>
    <row r="409" spans="1:36" s="69" customFormat="1" x14ac:dyDescent="0.25">
      <c r="A409" s="75"/>
      <c r="B409" s="75"/>
      <c r="C409" s="76"/>
      <c r="D409" s="76"/>
      <c r="E409" s="75"/>
      <c r="F409" s="75"/>
      <c r="G409" s="75"/>
      <c r="H409" s="75"/>
      <c r="I409" s="75"/>
      <c r="J409" s="75"/>
      <c r="K409" s="75"/>
      <c r="L409" s="75"/>
      <c r="M409" s="75"/>
      <c r="N409" s="75"/>
      <c r="O409" s="75"/>
      <c r="P409" s="75"/>
      <c r="Q409" s="75"/>
      <c r="R409" s="75"/>
      <c r="S409" s="75"/>
      <c r="T409" s="75"/>
      <c r="U409" s="75"/>
      <c r="V409" s="77"/>
      <c r="W409" s="75"/>
      <c r="X409" s="75"/>
      <c r="Y409" s="75"/>
      <c r="Z409" s="78"/>
      <c r="AA409" s="78"/>
      <c r="AB409" s="75"/>
      <c r="AJ409" s="72"/>
    </row>
    <row r="410" spans="1:36" s="69" customFormat="1" x14ac:dyDescent="0.25">
      <c r="A410" s="75"/>
      <c r="B410" s="75"/>
      <c r="C410" s="76"/>
      <c r="D410" s="76"/>
      <c r="E410" s="75"/>
      <c r="F410" s="75"/>
      <c r="G410" s="75"/>
      <c r="H410" s="75"/>
      <c r="I410" s="75"/>
      <c r="J410" s="75"/>
      <c r="K410" s="75"/>
      <c r="L410" s="75"/>
      <c r="M410" s="75"/>
      <c r="N410" s="75"/>
      <c r="O410" s="75"/>
      <c r="P410" s="75"/>
      <c r="Q410" s="75"/>
      <c r="R410" s="75"/>
      <c r="S410" s="75"/>
      <c r="T410" s="75"/>
      <c r="U410" s="75"/>
      <c r="V410" s="77"/>
      <c r="W410" s="75"/>
      <c r="X410" s="75"/>
      <c r="Y410" s="75"/>
      <c r="Z410" s="78"/>
      <c r="AA410" s="78"/>
      <c r="AB410" s="75"/>
      <c r="AJ410" s="72"/>
    </row>
    <row r="411" spans="1:36" s="69" customFormat="1" x14ac:dyDescent="0.25">
      <c r="A411" s="75"/>
      <c r="B411" s="75"/>
      <c r="C411" s="76"/>
      <c r="D411" s="76"/>
      <c r="E411" s="75"/>
      <c r="F411" s="75"/>
      <c r="G411" s="75"/>
      <c r="H411" s="75"/>
      <c r="I411" s="75"/>
      <c r="J411" s="75"/>
      <c r="K411" s="75"/>
      <c r="L411" s="75"/>
      <c r="M411" s="75"/>
      <c r="N411" s="75"/>
      <c r="O411" s="75"/>
      <c r="P411" s="75"/>
      <c r="Q411" s="75"/>
      <c r="R411" s="75"/>
      <c r="S411" s="75"/>
      <c r="T411" s="75"/>
      <c r="U411" s="75"/>
      <c r="V411" s="77"/>
      <c r="W411" s="75"/>
      <c r="X411" s="75"/>
      <c r="Y411" s="75"/>
      <c r="Z411" s="78"/>
      <c r="AA411" s="78"/>
      <c r="AB411" s="75"/>
      <c r="AJ411" s="72"/>
    </row>
    <row r="412" spans="1:36" s="69" customFormat="1" x14ac:dyDescent="0.25">
      <c r="A412" s="75"/>
      <c r="B412" s="75"/>
      <c r="C412" s="76"/>
      <c r="D412" s="76"/>
      <c r="E412" s="75"/>
      <c r="F412" s="75"/>
      <c r="G412" s="75"/>
      <c r="H412" s="75"/>
      <c r="I412" s="75"/>
      <c r="J412" s="75"/>
      <c r="K412" s="75"/>
      <c r="L412" s="75"/>
      <c r="M412" s="75"/>
      <c r="N412" s="75"/>
      <c r="O412" s="75"/>
      <c r="P412" s="75"/>
      <c r="Q412" s="75"/>
      <c r="R412" s="75"/>
      <c r="S412" s="75"/>
      <c r="T412" s="75"/>
      <c r="U412" s="75"/>
      <c r="V412" s="77"/>
      <c r="W412" s="75"/>
      <c r="X412" s="75"/>
      <c r="Y412" s="75"/>
      <c r="Z412" s="78"/>
      <c r="AA412" s="78"/>
      <c r="AB412" s="75"/>
      <c r="AJ412" s="72"/>
    </row>
    <row r="413" spans="1:36" s="69" customFormat="1" x14ac:dyDescent="0.25">
      <c r="A413" s="75"/>
      <c r="B413" s="75"/>
      <c r="C413" s="76"/>
      <c r="D413" s="76"/>
      <c r="E413" s="75"/>
      <c r="F413" s="75"/>
      <c r="G413" s="75"/>
      <c r="H413" s="75"/>
      <c r="I413" s="75"/>
      <c r="J413" s="75"/>
      <c r="K413" s="75"/>
      <c r="L413" s="75"/>
      <c r="M413" s="75"/>
      <c r="N413" s="75"/>
      <c r="O413" s="75"/>
      <c r="P413" s="75"/>
      <c r="Q413" s="75"/>
      <c r="R413" s="75"/>
      <c r="S413" s="75"/>
      <c r="T413" s="75"/>
      <c r="U413" s="75"/>
      <c r="V413" s="77"/>
      <c r="W413" s="75"/>
      <c r="X413" s="75"/>
      <c r="Y413" s="75"/>
      <c r="Z413" s="78"/>
      <c r="AA413" s="78"/>
      <c r="AB413" s="75"/>
      <c r="AJ413" s="72"/>
    </row>
    <row r="414" spans="1:36" s="69" customFormat="1" x14ac:dyDescent="0.25">
      <c r="A414" s="75"/>
      <c r="B414" s="75"/>
      <c r="C414" s="76"/>
      <c r="D414" s="76"/>
      <c r="E414" s="75"/>
      <c r="F414" s="75"/>
      <c r="G414" s="75"/>
      <c r="H414" s="75"/>
      <c r="I414" s="75"/>
      <c r="J414" s="75"/>
      <c r="K414" s="75"/>
      <c r="L414" s="75"/>
      <c r="M414" s="75"/>
      <c r="N414" s="75"/>
      <c r="O414" s="75"/>
      <c r="P414" s="75"/>
      <c r="Q414" s="75"/>
      <c r="R414" s="75"/>
      <c r="S414" s="75"/>
      <c r="T414" s="75"/>
      <c r="U414" s="75"/>
      <c r="V414" s="77"/>
      <c r="W414" s="75"/>
      <c r="X414" s="75"/>
      <c r="Y414" s="75"/>
      <c r="Z414" s="78"/>
      <c r="AA414" s="78"/>
      <c r="AB414" s="75"/>
      <c r="AJ414" s="72"/>
    </row>
    <row r="415" spans="1:36" s="69" customFormat="1" x14ac:dyDescent="0.25">
      <c r="A415" s="75"/>
      <c r="B415" s="75"/>
      <c r="C415" s="76"/>
      <c r="D415" s="76"/>
      <c r="E415" s="75"/>
      <c r="F415" s="75"/>
      <c r="G415" s="75"/>
      <c r="H415" s="75"/>
      <c r="I415" s="75"/>
      <c r="J415" s="75"/>
      <c r="K415" s="75"/>
      <c r="L415" s="75"/>
      <c r="M415" s="75"/>
      <c r="N415" s="75"/>
      <c r="O415" s="75"/>
      <c r="P415" s="75"/>
      <c r="Q415" s="75"/>
      <c r="R415" s="75"/>
      <c r="S415" s="75"/>
      <c r="T415" s="75"/>
      <c r="U415" s="75"/>
      <c r="V415" s="77"/>
      <c r="W415" s="75"/>
      <c r="X415" s="75"/>
      <c r="Y415" s="75"/>
      <c r="Z415" s="78"/>
      <c r="AA415" s="78"/>
      <c r="AB415" s="75"/>
      <c r="AJ415" s="72"/>
    </row>
    <row r="416" spans="1:36" s="69" customFormat="1" x14ac:dyDescent="0.25">
      <c r="A416" s="75"/>
      <c r="B416" s="75"/>
      <c r="C416" s="76"/>
      <c r="D416" s="76"/>
      <c r="E416" s="75"/>
      <c r="F416" s="75"/>
      <c r="G416" s="75"/>
      <c r="H416" s="75"/>
      <c r="I416" s="75"/>
      <c r="J416" s="75"/>
      <c r="K416" s="75"/>
      <c r="L416" s="75"/>
      <c r="M416" s="75"/>
      <c r="N416" s="75"/>
      <c r="O416" s="75"/>
      <c r="P416" s="75"/>
      <c r="Q416" s="75"/>
      <c r="R416" s="75"/>
      <c r="S416" s="75"/>
      <c r="T416" s="75"/>
      <c r="U416" s="75"/>
      <c r="V416" s="77"/>
      <c r="W416" s="75"/>
      <c r="X416" s="75"/>
      <c r="Y416" s="75"/>
      <c r="Z416" s="78"/>
      <c r="AA416" s="78"/>
      <c r="AB416" s="75"/>
      <c r="AJ416" s="72"/>
    </row>
    <row r="417" spans="1:36" s="69" customFormat="1" x14ac:dyDescent="0.25">
      <c r="A417" s="75"/>
      <c r="B417" s="75"/>
      <c r="C417" s="76"/>
      <c r="D417" s="76"/>
      <c r="E417" s="75"/>
      <c r="F417" s="75"/>
      <c r="G417" s="75"/>
      <c r="H417" s="75"/>
      <c r="I417" s="75"/>
      <c r="J417" s="75"/>
      <c r="K417" s="75"/>
      <c r="L417" s="75"/>
      <c r="M417" s="75"/>
      <c r="N417" s="75"/>
      <c r="O417" s="75"/>
      <c r="P417" s="75"/>
      <c r="Q417" s="75"/>
      <c r="R417" s="75"/>
      <c r="S417" s="75"/>
      <c r="T417" s="75"/>
      <c r="U417" s="75"/>
      <c r="V417" s="77"/>
      <c r="W417" s="75"/>
      <c r="X417" s="75"/>
      <c r="Y417" s="75"/>
      <c r="Z417" s="78"/>
      <c r="AA417" s="78"/>
      <c r="AB417" s="75"/>
      <c r="AJ417" s="72"/>
    </row>
    <row r="418" spans="1:36" s="69" customFormat="1" x14ac:dyDescent="0.25">
      <c r="A418" s="75"/>
      <c r="B418" s="75"/>
      <c r="C418" s="76"/>
      <c r="D418" s="76"/>
      <c r="E418" s="75"/>
      <c r="F418" s="75"/>
      <c r="G418" s="75"/>
      <c r="H418" s="75"/>
      <c r="I418" s="75"/>
      <c r="J418" s="75"/>
      <c r="K418" s="75"/>
      <c r="L418" s="75"/>
      <c r="M418" s="75"/>
      <c r="N418" s="75"/>
      <c r="O418" s="75"/>
      <c r="P418" s="75"/>
      <c r="Q418" s="75"/>
      <c r="R418" s="75"/>
      <c r="S418" s="75"/>
      <c r="T418" s="75"/>
      <c r="U418" s="75"/>
      <c r="V418" s="77"/>
      <c r="W418" s="75"/>
      <c r="X418" s="75"/>
      <c r="Y418" s="75"/>
      <c r="Z418" s="78"/>
      <c r="AA418" s="78"/>
      <c r="AB418" s="75"/>
      <c r="AJ418" s="72"/>
    </row>
    <row r="419" spans="1:36" s="69" customFormat="1" x14ac:dyDescent="0.25">
      <c r="A419" s="75"/>
      <c r="B419" s="75"/>
      <c r="C419" s="76"/>
      <c r="D419" s="76"/>
      <c r="E419" s="75"/>
      <c r="F419" s="75"/>
      <c r="G419" s="75"/>
      <c r="H419" s="75"/>
      <c r="I419" s="75"/>
      <c r="J419" s="75"/>
      <c r="K419" s="75"/>
      <c r="L419" s="75"/>
      <c r="M419" s="75"/>
      <c r="N419" s="75"/>
      <c r="O419" s="75"/>
      <c r="P419" s="75"/>
      <c r="Q419" s="75"/>
      <c r="R419" s="75"/>
      <c r="S419" s="75"/>
      <c r="T419" s="75"/>
      <c r="U419" s="75"/>
      <c r="V419" s="77"/>
      <c r="W419" s="75"/>
      <c r="X419" s="75"/>
      <c r="Y419" s="75"/>
      <c r="Z419" s="78"/>
      <c r="AA419" s="78"/>
      <c r="AB419" s="75"/>
      <c r="AJ419" s="72"/>
    </row>
    <row r="420" spans="1:36" s="69" customFormat="1" x14ac:dyDescent="0.25">
      <c r="A420" s="75"/>
      <c r="B420" s="75"/>
      <c r="C420" s="76"/>
      <c r="D420" s="76"/>
      <c r="E420" s="75"/>
      <c r="F420" s="75"/>
      <c r="G420" s="75"/>
      <c r="H420" s="75"/>
      <c r="I420" s="75"/>
      <c r="J420" s="75"/>
      <c r="K420" s="75"/>
      <c r="L420" s="75"/>
      <c r="M420" s="75"/>
      <c r="N420" s="75"/>
      <c r="O420" s="75"/>
      <c r="P420" s="75"/>
      <c r="Q420" s="75"/>
      <c r="R420" s="75"/>
      <c r="S420" s="75"/>
      <c r="T420" s="75"/>
      <c r="U420" s="75"/>
      <c r="V420" s="77"/>
      <c r="W420" s="75"/>
      <c r="X420" s="75"/>
      <c r="Y420" s="75"/>
      <c r="Z420" s="78"/>
      <c r="AA420" s="78"/>
      <c r="AB420" s="75"/>
      <c r="AJ420" s="72"/>
    </row>
    <row r="421" spans="1:36" s="69" customFormat="1" x14ac:dyDescent="0.25">
      <c r="A421" s="75"/>
      <c r="B421" s="75"/>
      <c r="C421" s="76"/>
      <c r="D421" s="76"/>
      <c r="E421" s="75"/>
      <c r="F421" s="75"/>
      <c r="G421" s="75"/>
      <c r="H421" s="75"/>
      <c r="I421" s="75"/>
      <c r="J421" s="75"/>
      <c r="K421" s="75"/>
      <c r="L421" s="75"/>
      <c r="M421" s="75"/>
      <c r="N421" s="75"/>
      <c r="O421" s="75"/>
      <c r="P421" s="75"/>
      <c r="Q421" s="75"/>
      <c r="R421" s="75"/>
      <c r="S421" s="75"/>
      <c r="T421" s="75"/>
      <c r="U421" s="75"/>
      <c r="V421" s="77"/>
      <c r="W421" s="75"/>
      <c r="X421" s="75"/>
      <c r="Y421" s="75"/>
      <c r="Z421" s="78"/>
      <c r="AA421" s="78"/>
      <c r="AB421" s="75"/>
      <c r="AJ421" s="72"/>
    </row>
    <row r="422" spans="1:36" s="69" customFormat="1" x14ac:dyDescent="0.25">
      <c r="A422" s="75"/>
      <c r="B422" s="75"/>
      <c r="C422" s="76"/>
      <c r="D422" s="76"/>
      <c r="E422" s="75"/>
      <c r="F422" s="75"/>
      <c r="G422" s="75"/>
      <c r="H422" s="75"/>
      <c r="I422" s="75"/>
      <c r="J422" s="75"/>
      <c r="K422" s="75"/>
      <c r="L422" s="75"/>
      <c r="M422" s="75"/>
      <c r="N422" s="75"/>
      <c r="O422" s="75"/>
      <c r="P422" s="75"/>
      <c r="Q422" s="75"/>
      <c r="R422" s="75"/>
      <c r="S422" s="75"/>
      <c r="T422" s="75"/>
      <c r="U422" s="75"/>
      <c r="V422" s="77"/>
      <c r="W422" s="75"/>
      <c r="X422" s="75"/>
      <c r="Y422" s="75"/>
      <c r="Z422" s="78"/>
      <c r="AA422" s="78"/>
      <c r="AB422" s="75"/>
      <c r="AJ422" s="72"/>
    </row>
    <row r="423" spans="1:36" s="69" customFormat="1" x14ac:dyDescent="0.25">
      <c r="A423" s="75"/>
      <c r="B423" s="75"/>
      <c r="C423" s="76"/>
      <c r="D423" s="76"/>
      <c r="E423" s="75"/>
      <c r="F423" s="75"/>
      <c r="G423" s="75"/>
      <c r="H423" s="75"/>
      <c r="I423" s="75"/>
      <c r="J423" s="75"/>
      <c r="K423" s="75"/>
      <c r="L423" s="75"/>
      <c r="M423" s="75"/>
      <c r="N423" s="75"/>
      <c r="O423" s="75"/>
      <c r="P423" s="75"/>
      <c r="Q423" s="75"/>
      <c r="R423" s="75"/>
      <c r="S423" s="75"/>
      <c r="T423" s="75"/>
      <c r="U423" s="75"/>
      <c r="V423" s="77"/>
      <c r="W423" s="75"/>
      <c r="X423" s="75"/>
      <c r="Y423" s="75"/>
      <c r="Z423" s="78"/>
      <c r="AA423" s="78"/>
      <c r="AB423" s="75"/>
      <c r="AJ423" s="72"/>
    </row>
    <row r="424" spans="1:36" s="69" customFormat="1" x14ac:dyDescent="0.25">
      <c r="A424" s="75"/>
      <c r="B424" s="75"/>
      <c r="C424" s="76"/>
      <c r="D424" s="76"/>
      <c r="E424" s="75"/>
      <c r="F424" s="75"/>
      <c r="G424" s="75"/>
      <c r="H424" s="75"/>
      <c r="I424" s="75"/>
      <c r="J424" s="75"/>
      <c r="K424" s="75"/>
      <c r="L424" s="75"/>
      <c r="M424" s="75"/>
      <c r="N424" s="75"/>
      <c r="O424" s="75"/>
      <c r="P424" s="75"/>
      <c r="Q424" s="75"/>
      <c r="R424" s="75"/>
      <c r="S424" s="75"/>
      <c r="T424" s="75"/>
      <c r="U424" s="75"/>
      <c r="V424" s="77"/>
      <c r="W424" s="75"/>
      <c r="X424" s="75"/>
      <c r="Y424" s="75"/>
      <c r="Z424" s="78"/>
      <c r="AA424" s="78"/>
      <c r="AB424" s="75"/>
      <c r="AJ424" s="72"/>
    </row>
    <row r="425" spans="1:36" s="69" customFormat="1" x14ac:dyDescent="0.25">
      <c r="A425" s="75"/>
      <c r="B425" s="75"/>
      <c r="C425" s="76"/>
      <c r="D425" s="76"/>
      <c r="E425" s="75"/>
      <c r="F425" s="75"/>
      <c r="G425" s="75"/>
      <c r="H425" s="75"/>
      <c r="I425" s="75"/>
      <c r="J425" s="75"/>
      <c r="K425" s="75"/>
      <c r="L425" s="75"/>
      <c r="M425" s="75"/>
      <c r="N425" s="75"/>
      <c r="O425" s="75"/>
      <c r="P425" s="75"/>
      <c r="Q425" s="75"/>
      <c r="R425" s="75"/>
      <c r="S425" s="75"/>
      <c r="T425" s="75"/>
      <c r="U425" s="75"/>
      <c r="V425" s="77"/>
      <c r="W425" s="75"/>
      <c r="X425" s="75"/>
      <c r="Y425" s="75"/>
      <c r="Z425" s="78"/>
      <c r="AA425" s="78"/>
      <c r="AB425" s="75"/>
      <c r="AJ425" s="72"/>
    </row>
    <row r="426" spans="1:36" s="69" customFormat="1" x14ac:dyDescent="0.25">
      <c r="A426" s="75"/>
      <c r="B426" s="75"/>
      <c r="C426" s="76"/>
      <c r="D426" s="76"/>
      <c r="E426" s="75"/>
      <c r="F426" s="75"/>
      <c r="G426" s="75"/>
      <c r="H426" s="75"/>
      <c r="I426" s="75"/>
      <c r="J426" s="75"/>
      <c r="K426" s="75"/>
      <c r="L426" s="75"/>
      <c r="M426" s="75"/>
      <c r="N426" s="75"/>
      <c r="O426" s="75"/>
      <c r="P426" s="75"/>
      <c r="Q426" s="75"/>
      <c r="R426" s="75"/>
      <c r="S426" s="75"/>
      <c r="T426" s="75"/>
      <c r="U426" s="75"/>
      <c r="V426" s="77"/>
      <c r="W426" s="75"/>
      <c r="X426" s="75"/>
      <c r="Y426" s="75"/>
      <c r="Z426" s="78"/>
      <c r="AA426" s="78"/>
      <c r="AB426" s="75"/>
      <c r="AJ426" s="72"/>
    </row>
    <row r="427" spans="1:36" s="69" customFormat="1" x14ac:dyDescent="0.25">
      <c r="A427" s="75"/>
      <c r="B427" s="75"/>
      <c r="C427" s="76"/>
      <c r="D427" s="76"/>
      <c r="E427" s="75"/>
      <c r="F427" s="75"/>
      <c r="G427" s="75"/>
      <c r="H427" s="75"/>
      <c r="I427" s="75"/>
      <c r="J427" s="75"/>
      <c r="K427" s="75"/>
      <c r="L427" s="75"/>
      <c r="M427" s="75"/>
      <c r="N427" s="75"/>
      <c r="O427" s="75"/>
      <c r="P427" s="75"/>
      <c r="Q427" s="75"/>
      <c r="R427" s="75"/>
      <c r="S427" s="75"/>
      <c r="T427" s="75"/>
      <c r="U427" s="75"/>
      <c r="V427" s="77"/>
      <c r="W427" s="75"/>
      <c r="X427" s="75"/>
      <c r="Y427" s="75"/>
      <c r="Z427" s="78"/>
      <c r="AA427" s="78"/>
      <c r="AB427" s="75"/>
      <c r="AJ427" s="72"/>
    </row>
    <row r="428" spans="1:36" s="69" customFormat="1" x14ac:dyDescent="0.25">
      <c r="A428" s="75"/>
      <c r="B428" s="75"/>
      <c r="C428" s="76"/>
      <c r="D428" s="76"/>
      <c r="E428" s="75"/>
      <c r="F428" s="75"/>
      <c r="G428" s="75"/>
      <c r="H428" s="75"/>
      <c r="I428" s="75"/>
      <c r="J428" s="75"/>
      <c r="K428" s="75"/>
      <c r="L428" s="75"/>
      <c r="M428" s="75"/>
      <c r="N428" s="75"/>
      <c r="O428" s="75"/>
      <c r="P428" s="75"/>
      <c r="Q428" s="75"/>
      <c r="R428" s="75"/>
      <c r="S428" s="75"/>
      <c r="T428" s="75"/>
      <c r="U428" s="75"/>
      <c r="V428" s="77"/>
      <c r="W428" s="75"/>
      <c r="X428" s="75"/>
      <c r="Y428" s="75"/>
      <c r="Z428" s="78"/>
      <c r="AA428" s="78"/>
      <c r="AB428" s="75"/>
      <c r="AJ428" s="72"/>
    </row>
    <row r="429" spans="1:36" s="69" customFormat="1" x14ac:dyDescent="0.25">
      <c r="A429" s="75"/>
      <c r="B429" s="75"/>
      <c r="C429" s="76"/>
      <c r="D429" s="76"/>
      <c r="E429" s="75"/>
      <c r="F429" s="75"/>
      <c r="G429" s="75"/>
      <c r="H429" s="75"/>
      <c r="I429" s="75"/>
      <c r="J429" s="75"/>
      <c r="K429" s="75"/>
      <c r="L429" s="75"/>
      <c r="M429" s="75"/>
      <c r="N429" s="75"/>
      <c r="O429" s="75"/>
      <c r="P429" s="75"/>
      <c r="Q429" s="75"/>
      <c r="R429" s="75"/>
      <c r="S429" s="75"/>
      <c r="T429" s="75"/>
      <c r="U429" s="75"/>
      <c r="V429" s="77"/>
      <c r="W429" s="75"/>
      <c r="X429" s="75"/>
      <c r="Y429" s="75"/>
      <c r="Z429" s="78"/>
      <c r="AA429" s="78"/>
      <c r="AB429" s="75"/>
      <c r="AJ429" s="72"/>
    </row>
    <row r="430" spans="1:36" s="69" customFormat="1" x14ac:dyDescent="0.25">
      <c r="A430" s="75"/>
      <c r="B430" s="75"/>
      <c r="C430" s="76"/>
      <c r="D430" s="76"/>
      <c r="E430" s="75"/>
      <c r="F430" s="75"/>
      <c r="G430" s="75"/>
      <c r="H430" s="75"/>
      <c r="I430" s="75"/>
      <c r="J430" s="75"/>
      <c r="K430" s="75"/>
      <c r="L430" s="75"/>
      <c r="M430" s="75"/>
      <c r="N430" s="75"/>
      <c r="O430" s="75"/>
      <c r="P430" s="75"/>
      <c r="Q430" s="75"/>
      <c r="R430" s="75"/>
      <c r="S430" s="75"/>
      <c r="T430" s="75"/>
      <c r="U430" s="75"/>
      <c r="V430" s="77"/>
      <c r="W430" s="75"/>
      <c r="X430" s="75"/>
      <c r="Y430" s="75"/>
      <c r="Z430" s="78"/>
      <c r="AA430" s="78"/>
      <c r="AB430" s="75"/>
      <c r="AJ430" s="72"/>
    </row>
    <row r="431" spans="1:36" s="69" customFormat="1" x14ac:dyDescent="0.25">
      <c r="A431" s="75"/>
      <c r="B431" s="75"/>
      <c r="C431" s="76"/>
      <c r="D431" s="76"/>
      <c r="E431" s="75"/>
      <c r="F431" s="75"/>
      <c r="G431" s="75"/>
      <c r="H431" s="75"/>
      <c r="I431" s="75"/>
      <c r="J431" s="75"/>
      <c r="K431" s="75"/>
      <c r="L431" s="75"/>
      <c r="M431" s="75"/>
      <c r="N431" s="75"/>
      <c r="O431" s="75"/>
      <c r="P431" s="75"/>
      <c r="Q431" s="75"/>
      <c r="R431" s="75"/>
      <c r="S431" s="75"/>
      <c r="T431" s="75"/>
      <c r="U431" s="75"/>
      <c r="V431" s="77"/>
      <c r="W431" s="75"/>
      <c r="X431" s="75"/>
      <c r="Y431" s="75"/>
      <c r="Z431" s="78"/>
      <c r="AA431" s="78"/>
      <c r="AB431" s="75"/>
      <c r="AJ431" s="72"/>
    </row>
    <row r="432" spans="1:36" s="69" customFormat="1" x14ac:dyDescent="0.25">
      <c r="A432" s="75"/>
      <c r="B432" s="75"/>
      <c r="C432" s="76"/>
      <c r="D432" s="76"/>
      <c r="E432" s="75"/>
      <c r="F432" s="75"/>
      <c r="G432" s="75"/>
      <c r="H432" s="75"/>
      <c r="I432" s="75"/>
      <c r="J432" s="75"/>
      <c r="K432" s="75"/>
      <c r="L432" s="75"/>
      <c r="M432" s="75"/>
      <c r="N432" s="75"/>
      <c r="O432" s="75"/>
      <c r="P432" s="75"/>
      <c r="Q432" s="75"/>
      <c r="R432" s="75"/>
      <c r="S432" s="75"/>
      <c r="T432" s="75"/>
      <c r="U432" s="75"/>
      <c r="V432" s="77"/>
      <c r="W432" s="75"/>
      <c r="X432" s="75"/>
      <c r="Y432" s="75"/>
      <c r="Z432" s="78"/>
      <c r="AA432" s="78"/>
      <c r="AB432" s="75"/>
      <c r="AJ432" s="72"/>
    </row>
    <row r="433" spans="1:36" s="69" customFormat="1" x14ac:dyDescent="0.25">
      <c r="A433" s="75"/>
      <c r="B433" s="75"/>
      <c r="C433" s="76"/>
      <c r="D433" s="76"/>
      <c r="E433" s="75"/>
      <c r="F433" s="75"/>
      <c r="G433" s="75"/>
      <c r="H433" s="75"/>
      <c r="I433" s="75"/>
      <c r="J433" s="75"/>
      <c r="K433" s="75"/>
      <c r="L433" s="75"/>
      <c r="M433" s="75"/>
      <c r="N433" s="75"/>
      <c r="O433" s="75"/>
      <c r="P433" s="75"/>
      <c r="Q433" s="75"/>
      <c r="R433" s="75"/>
      <c r="S433" s="75"/>
      <c r="T433" s="75"/>
      <c r="U433" s="75"/>
      <c r="V433" s="77"/>
      <c r="W433" s="75"/>
      <c r="X433" s="75"/>
      <c r="Y433" s="75"/>
      <c r="Z433" s="78"/>
      <c r="AA433" s="78"/>
      <c r="AB433" s="75"/>
      <c r="AJ433" s="72"/>
    </row>
    <row r="434" spans="1:36" s="69" customFormat="1" x14ac:dyDescent="0.25">
      <c r="A434" s="75"/>
      <c r="B434" s="75"/>
      <c r="C434" s="76"/>
      <c r="D434" s="76"/>
      <c r="E434" s="75"/>
      <c r="F434" s="75"/>
      <c r="G434" s="75"/>
      <c r="H434" s="75"/>
      <c r="I434" s="75"/>
      <c r="J434" s="75"/>
      <c r="K434" s="75"/>
      <c r="L434" s="75"/>
      <c r="M434" s="75"/>
      <c r="N434" s="75"/>
      <c r="O434" s="75"/>
      <c r="P434" s="75"/>
      <c r="Q434" s="75"/>
      <c r="R434" s="75"/>
      <c r="S434" s="75"/>
      <c r="T434" s="75"/>
      <c r="U434" s="75"/>
      <c r="V434" s="77"/>
      <c r="W434" s="75"/>
      <c r="X434" s="75"/>
      <c r="Y434" s="75"/>
      <c r="Z434" s="78"/>
      <c r="AA434" s="78"/>
      <c r="AB434" s="75"/>
      <c r="AJ434" s="72"/>
    </row>
    <row r="435" spans="1:36" s="69" customFormat="1" x14ac:dyDescent="0.25">
      <c r="A435" s="75"/>
      <c r="B435" s="75"/>
      <c r="C435" s="76"/>
      <c r="D435" s="76"/>
      <c r="E435" s="75"/>
      <c r="F435" s="75"/>
      <c r="G435" s="75"/>
      <c r="H435" s="75"/>
      <c r="I435" s="75"/>
      <c r="J435" s="75"/>
      <c r="K435" s="75"/>
      <c r="L435" s="75"/>
      <c r="M435" s="75"/>
      <c r="N435" s="75"/>
      <c r="O435" s="75"/>
      <c r="P435" s="75"/>
      <c r="Q435" s="75"/>
      <c r="R435" s="75"/>
      <c r="S435" s="75"/>
      <c r="T435" s="75"/>
      <c r="U435" s="75"/>
      <c r="V435" s="77"/>
      <c r="W435" s="75"/>
      <c r="X435" s="75"/>
      <c r="Y435" s="75"/>
      <c r="Z435" s="78"/>
      <c r="AA435" s="78"/>
      <c r="AB435" s="75"/>
      <c r="AJ435" s="72"/>
    </row>
    <row r="436" spans="1:36" s="69" customFormat="1" x14ac:dyDescent="0.25">
      <c r="A436" s="75"/>
      <c r="B436" s="75"/>
      <c r="C436" s="76"/>
      <c r="D436" s="76"/>
      <c r="E436" s="75"/>
      <c r="F436" s="75"/>
      <c r="G436" s="75"/>
      <c r="H436" s="75"/>
      <c r="I436" s="75"/>
      <c r="J436" s="75"/>
      <c r="K436" s="75"/>
      <c r="L436" s="75"/>
      <c r="M436" s="75"/>
      <c r="N436" s="75"/>
      <c r="O436" s="75"/>
      <c r="P436" s="75"/>
      <c r="Q436" s="75"/>
      <c r="R436" s="75"/>
      <c r="S436" s="75"/>
      <c r="T436" s="75"/>
      <c r="U436" s="75"/>
      <c r="V436" s="77"/>
      <c r="W436" s="75"/>
      <c r="X436" s="75"/>
      <c r="Y436" s="75"/>
      <c r="Z436" s="78"/>
      <c r="AA436" s="78"/>
      <c r="AB436" s="75"/>
      <c r="AJ436" s="72"/>
    </row>
    <row r="437" spans="1:36" s="69" customFormat="1" x14ac:dyDescent="0.25">
      <c r="A437" s="75"/>
      <c r="B437" s="75"/>
      <c r="C437" s="76"/>
      <c r="D437" s="76"/>
      <c r="E437" s="75"/>
      <c r="F437" s="75"/>
      <c r="G437" s="75"/>
      <c r="H437" s="75"/>
      <c r="I437" s="75"/>
      <c r="J437" s="75"/>
      <c r="K437" s="75"/>
      <c r="L437" s="75"/>
      <c r="M437" s="75"/>
      <c r="N437" s="75"/>
      <c r="O437" s="75"/>
      <c r="P437" s="75"/>
      <c r="Q437" s="75"/>
      <c r="R437" s="75"/>
      <c r="S437" s="75"/>
      <c r="T437" s="75"/>
      <c r="U437" s="75"/>
      <c r="V437" s="77"/>
      <c r="W437" s="75"/>
      <c r="X437" s="75"/>
      <c r="Y437" s="75"/>
      <c r="Z437" s="78"/>
      <c r="AA437" s="78"/>
      <c r="AB437" s="75"/>
      <c r="AJ437" s="72"/>
    </row>
    <row r="438" spans="1:36" s="69" customFormat="1" x14ac:dyDescent="0.25">
      <c r="A438" s="75"/>
      <c r="B438" s="75"/>
      <c r="C438" s="76"/>
      <c r="D438" s="76"/>
      <c r="E438" s="75"/>
      <c r="F438" s="75"/>
      <c r="G438" s="75"/>
      <c r="H438" s="75"/>
      <c r="I438" s="75"/>
      <c r="J438" s="75"/>
      <c r="K438" s="75"/>
      <c r="L438" s="75"/>
      <c r="M438" s="75"/>
      <c r="N438" s="75"/>
      <c r="O438" s="75"/>
      <c r="P438" s="75"/>
      <c r="Q438" s="75"/>
      <c r="R438" s="75"/>
      <c r="S438" s="75"/>
      <c r="T438" s="75"/>
      <c r="U438" s="75"/>
      <c r="V438" s="77"/>
      <c r="W438" s="75"/>
      <c r="X438" s="75"/>
      <c r="Y438" s="75"/>
      <c r="Z438" s="78"/>
      <c r="AA438" s="78"/>
      <c r="AB438" s="75"/>
      <c r="AJ438" s="72"/>
    </row>
    <row r="439" spans="1:36" s="69" customFormat="1" x14ac:dyDescent="0.25">
      <c r="A439" s="75"/>
      <c r="B439" s="75"/>
      <c r="C439" s="76"/>
      <c r="D439" s="76"/>
      <c r="E439" s="75"/>
      <c r="F439" s="75"/>
      <c r="G439" s="75"/>
      <c r="H439" s="75"/>
      <c r="I439" s="75"/>
      <c r="J439" s="75"/>
      <c r="K439" s="75"/>
      <c r="L439" s="75"/>
      <c r="M439" s="75"/>
      <c r="N439" s="75"/>
      <c r="O439" s="75"/>
      <c r="P439" s="75"/>
      <c r="Q439" s="75"/>
      <c r="R439" s="75"/>
      <c r="S439" s="75"/>
      <c r="T439" s="75"/>
      <c r="U439" s="75"/>
      <c r="V439" s="77"/>
      <c r="W439" s="75"/>
      <c r="X439" s="75"/>
      <c r="Y439" s="75"/>
      <c r="Z439" s="78"/>
      <c r="AA439" s="78"/>
      <c r="AB439" s="75"/>
      <c r="AJ439" s="72"/>
    </row>
    <row r="440" spans="1:36" s="69" customFormat="1" x14ac:dyDescent="0.25">
      <c r="A440" s="75"/>
      <c r="B440" s="75"/>
      <c r="C440" s="76"/>
      <c r="D440" s="76"/>
      <c r="E440" s="75"/>
      <c r="F440" s="75"/>
      <c r="G440" s="75"/>
      <c r="H440" s="75"/>
      <c r="I440" s="75"/>
      <c r="J440" s="75"/>
      <c r="K440" s="75"/>
      <c r="L440" s="75"/>
      <c r="M440" s="75"/>
      <c r="N440" s="75"/>
      <c r="O440" s="75"/>
      <c r="P440" s="75"/>
      <c r="Q440" s="75"/>
      <c r="R440" s="75"/>
      <c r="S440" s="75"/>
      <c r="T440" s="75"/>
      <c r="U440" s="75"/>
      <c r="V440" s="77"/>
      <c r="W440" s="75"/>
      <c r="X440" s="75"/>
      <c r="Y440" s="75"/>
      <c r="Z440" s="78"/>
      <c r="AA440" s="78"/>
      <c r="AB440" s="75"/>
      <c r="AJ440" s="72"/>
    </row>
    <row r="441" spans="1:36" s="69" customFormat="1" x14ac:dyDescent="0.25">
      <c r="A441" s="75"/>
      <c r="B441" s="75"/>
      <c r="C441" s="76"/>
      <c r="D441" s="76"/>
      <c r="E441" s="75"/>
      <c r="F441" s="75"/>
      <c r="G441" s="75"/>
      <c r="H441" s="75"/>
      <c r="I441" s="75"/>
      <c r="J441" s="75"/>
      <c r="K441" s="75"/>
      <c r="L441" s="75"/>
      <c r="M441" s="75"/>
      <c r="N441" s="75"/>
      <c r="O441" s="75"/>
      <c r="P441" s="75"/>
      <c r="Q441" s="75"/>
      <c r="R441" s="75"/>
      <c r="S441" s="75"/>
      <c r="T441" s="75"/>
      <c r="U441" s="75"/>
      <c r="V441" s="77"/>
      <c r="W441" s="75"/>
      <c r="X441" s="75"/>
      <c r="Y441" s="75"/>
      <c r="Z441" s="78"/>
      <c r="AA441" s="78"/>
      <c r="AB441" s="75"/>
      <c r="AJ441" s="72"/>
    </row>
    <row r="442" spans="1:36" s="69" customFormat="1" x14ac:dyDescent="0.25">
      <c r="A442" s="75"/>
      <c r="B442" s="75"/>
      <c r="C442" s="76"/>
      <c r="D442" s="76"/>
      <c r="E442" s="75"/>
      <c r="F442" s="75"/>
      <c r="G442" s="75"/>
      <c r="H442" s="75"/>
      <c r="I442" s="75"/>
      <c r="J442" s="75"/>
      <c r="K442" s="75"/>
      <c r="L442" s="75"/>
      <c r="M442" s="75"/>
      <c r="N442" s="75"/>
      <c r="O442" s="75"/>
      <c r="P442" s="75"/>
      <c r="Q442" s="75"/>
      <c r="R442" s="75"/>
      <c r="S442" s="75"/>
      <c r="T442" s="75"/>
      <c r="U442" s="75"/>
      <c r="V442" s="77"/>
      <c r="W442" s="75"/>
      <c r="X442" s="75"/>
      <c r="Y442" s="75"/>
      <c r="Z442" s="78"/>
      <c r="AA442" s="78"/>
      <c r="AB442" s="75"/>
      <c r="AJ442" s="72"/>
    </row>
    <row r="443" spans="1:36" s="69" customFormat="1" x14ac:dyDescent="0.25">
      <c r="A443" s="75"/>
      <c r="B443" s="75"/>
      <c r="C443" s="76"/>
      <c r="D443" s="76"/>
      <c r="E443" s="75"/>
      <c r="F443" s="75"/>
      <c r="G443" s="75"/>
      <c r="H443" s="75"/>
      <c r="I443" s="75"/>
      <c r="J443" s="75"/>
      <c r="K443" s="75"/>
      <c r="L443" s="75"/>
      <c r="M443" s="75"/>
      <c r="N443" s="75"/>
      <c r="O443" s="75"/>
      <c r="P443" s="75"/>
      <c r="Q443" s="75"/>
      <c r="R443" s="75"/>
      <c r="S443" s="75"/>
      <c r="T443" s="75"/>
      <c r="U443" s="75"/>
      <c r="V443" s="77"/>
      <c r="W443" s="75"/>
      <c r="X443" s="75"/>
      <c r="Y443" s="75"/>
      <c r="Z443" s="78"/>
      <c r="AA443" s="78"/>
      <c r="AB443" s="75"/>
      <c r="AJ443" s="72"/>
    </row>
    <row r="444" spans="1:36" s="69" customFormat="1" x14ac:dyDescent="0.25">
      <c r="A444" s="75"/>
      <c r="B444" s="75"/>
      <c r="C444" s="76"/>
      <c r="D444" s="76"/>
      <c r="E444" s="75"/>
      <c r="F444" s="75"/>
      <c r="G444" s="75"/>
      <c r="H444" s="75"/>
      <c r="I444" s="75"/>
      <c r="J444" s="75"/>
      <c r="K444" s="75"/>
      <c r="L444" s="75"/>
      <c r="M444" s="75"/>
      <c r="N444" s="75"/>
      <c r="O444" s="75"/>
      <c r="P444" s="75"/>
      <c r="Q444" s="75"/>
      <c r="R444" s="75"/>
      <c r="S444" s="75"/>
      <c r="T444" s="75"/>
      <c r="U444" s="75"/>
      <c r="V444" s="77"/>
      <c r="W444" s="75"/>
      <c r="X444" s="75"/>
      <c r="Y444" s="75"/>
      <c r="Z444" s="78"/>
      <c r="AA444" s="78"/>
      <c r="AB444" s="75"/>
      <c r="AJ444" s="72"/>
    </row>
    <row r="445" spans="1:36" s="69" customFormat="1" x14ac:dyDescent="0.25">
      <c r="A445" s="75"/>
      <c r="B445" s="75"/>
      <c r="C445" s="76"/>
      <c r="D445" s="76"/>
      <c r="E445" s="75"/>
      <c r="F445" s="75"/>
      <c r="G445" s="75"/>
      <c r="H445" s="75"/>
      <c r="I445" s="75"/>
      <c r="J445" s="75"/>
      <c r="K445" s="75"/>
      <c r="L445" s="75"/>
      <c r="M445" s="75"/>
      <c r="N445" s="75"/>
      <c r="O445" s="75"/>
      <c r="P445" s="75"/>
      <c r="Q445" s="75"/>
      <c r="R445" s="75"/>
      <c r="S445" s="75"/>
      <c r="T445" s="75"/>
      <c r="U445" s="75"/>
      <c r="V445" s="77"/>
      <c r="W445" s="75"/>
      <c r="X445" s="75"/>
      <c r="Y445" s="75"/>
      <c r="Z445" s="78"/>
      <c r="AA445" s="78"/>
      <c r="AB445" s="75"/>
      <c r="AJ445" s="72"/>
    </row>
    <row r="446" spans="1:36" s="69" customFormat="1" x14ac:dyDescent="0.25">
      <c r="A446" s="75"/>
      <c r="B446" s="75"/>
      <c r="C446" s="76"/>
      <c r="D446" s="76"/>
      <c r="E446" s="75"/>
      <c r="F446" s="75"/>
      <c r="G446" s="75"/>
      <c r="H446" s="75"/>
      <c r="I446" s="75"/>
      <c r="J446" s="75"/>
      <c r="K446" s="75"/>
      <c r="L446" s="75"/>
      <c r="M446" s="75"/>
      <c r="N446" s="75"/>
      <c r="O446" s="75"/>
      <c r="P446" s="75"/>
      <c r="Q446" s="75"/>
      <c r="R446" s="75"/>
      <c r="S446" s="75"/>
      <c r="T446" s="75"/>
      <c r="U446" s="75"/>
      <c r="V446" s="77"/>
      <c r="W446" s="75"/>
      <c r="X446" s="75"/>
      <c r="Y446" s="75"/>
      <c r="Z446" s="78"/>
      <c r="AA446" s="78"/>
      <c r="AB446" s="75"/>
      <c r="AJ446" s="72"/>
    </row>
    <row r="447" spans="1:36" s="69" customFormat="1" x14ac:dyDescent="0.25">
      <c r="A447" s="75"/>
      <c r="B447" s="75"/>
      <c r="C447" s="76"/>
      <c r="D447" s="76"/>
      <c r="E447" s="75"/>
      <c r="F447" s="75"/>
      <c r="G447" s="75"/>
      <c r="H447" s="75"/>
      <c r="I447" s="75"/>
      <c r="J447" s="75"/>
      <c r="K447" s="75"/>
      <c r="L447" s="75"/>
      <c r="M447" s="75"/>
      <c r="N447" s="75"/>
      <c r="O447" s="75"/>
      <c r="P447" s="75"/>
      <c r="Q447" s="75"/>
      <c r="R447" s="75"/>
      <c r="S447" s="75"/>
      <c r="T447" s="75"/>
      <c r="U447" s="75"/>
      <c r="V447" s="77"/>
      <c r="W447" s="75"/>
      <c r="X447" s="75"/>
      <c r="Y447" s="75"/>
      <c r="Z447" s="78"/>
      <c r="AA447" s="78"/>
      <c r="AB447" s="75"/>
      <c r="AJ447" s="72"/>
    </row>
    <row r="448" spans="1:36" s="69" customFormat="1" x14ac:dyDescent="0.25">
      <c r="A448" s="75"/>
      <c r="B448" s="75"/>
      <c r="C448" s="76"/>
      <c r="D448" s="76"/>
      <c r="E448" s="75"/>
      <c r="F448" s="75"/>
      <c r="G448" s="75"/>
      <c r="H448" s="75"/>
      <c r="I448" s="75"/>
      <c r="J448" s="75"/>
      <c r="K448" s="75"/>
      <c r="L448" s="75"/>
      <c r="M448" s="75"/>
      <c r="N448" s="75"/>
      <c r="O448" s="75"/>
      <c r="P448" s="75"/>
      <c r="Q448" s="75"/>
      <c r="R448" s="75"/>
      <c r="S448" s="75"/>
      <c r="T448" s="75"/>
      <c r="U448" s="75"/>
      <c r="V448" s="77"/>
      <c r="W448" s="75"/>
      <c r="X448" s="75"/>
      <c r="Y448" s="75"/>
      <c r="Z448" s="78"/>
      <c r="AA448" s="78"/>
      <c r="AB448" s="75"/>
      <c r="AJ448" s="72"/>
    </row>
    <row r="449" spans="1:36" s="69" customFormat="1" x14ac:dyDescent="0.25">
      <c r="A449" s="75"/>
      <c r="B449" s="75"/>
      <c r="C449" s="76"/>
      <c r="D449" s="76"/>
      <c r="E449" s="75"/>
      <c r="F449" s="75"/>
      <c r="G449" s="75"/>
      <c r="H449" s="75"/>
      <c r="I449" s="75"/>
      <c r="J449" s="75"/>
      <c r="K449" s="75"/>
      <c r="L449" s="75"/>
      <c r="M449" s="75"/>
      <c r="N449" s="75"/>
      <c r="O449" s="75"/>
      <c r="P449" s="75"/>
      <c r="Q449" s="75"/>
      <c r="R449" s="75"/>
      <c r="S449" s="75"/>
      <c r="T449" s="75"/>
      <c r="U449" s="75"/>
      <c r="V449" s="77"/>
      <c r="W449" s="75"/>
      <c r="X449" s="75"/>
      <c r="Y449" s="75"/>
      <c r="Z449" s="78"/>
      <c r="AA449" s="78"/>
      <c r="AB449" s="75"/>
      <c r="AJ449" s="72"/>
    </row>
    <row r="450" spans="1:36" s="69" customFormat="1" x14ac:dyDescent="0.25">
      <c r="A450" s="75"/>
      <c r="B450" s="75"/>
      <c r="C450" s="76"/>
      <c r="D450" s="76"/>
      <c r="E450" s="75"/>
      <c r="F450" s="75"/>
      <c r="G450" s="75"/>
      <c r="H450" s="75"/>
      <c r="I450" s="75"/>
      <c r="J450" s="75"/>
      <c r="K450" s="75"/>
      <c r="L450" s="75"/>
      <c r="M450" s="75"/>
      <c r="N450" s="75"/>
      <c r="O450" s="75"/>
      <c r="P450" s="75"/>
      <c r="Q450" s="75"/>
      <c r="R450" s="75"/>
      <c r="S450" s="75"/>
      <c r="T450" s="75"/>
      <c r="U450" s="75"/>
      <c r="V450" s="77"/>
      <c r="W450" s="75"/>
      <c r="X450" s="75"/>
      <c r="Y450" s="75"/>
      <c r="Z450" s="78"/>
      <c r="AA450" s="78"/>
      <c r="AB450" s="75"/>
      <c r="AJ450" s="72"/>
    </row>
    <row r="451" spans="1:36" s="69" customFormat="1" x14ac:dyDescent="0.25">
      <c r="A451" s="75"/>
      <c r="B451" s="75"/>
      <c r="C451" s="76"/>
      <c r="D451" s="76"/>
      <c r="E451" s="75"/>
      <c r="F451" s="75"/>
      <c r="G451" s="75"/>
      <c r="H451" s="75"/>
      <c r="I451" s="75"/>
      <c r="J451" s="75"/>
      <c r="K451" s="75"/>
      <c r="L451" s="75"/>
      <c r="M451" s="75"/>
      <c r="N451" s="75"/>
      <c r="O451" s="75"/>
      <c r="P451" s="75"/>
      <c r="Q451" s="75"/>
      <c r="R451" s="75"/>
      <c r="S451" s="75"/>
      <c r="T451" s="75"/>
      <c r="U451" s="75"/>
      <c r="V451" s="77"/>
      <c r="W451" s="75"/>
      <c r="X451" s="75"/>
      <c r="Y451" s="75"/>
      <c r="Z451" s="78"/>
      <c r="AA451" s="78"/>
      <c r="AB451" s="75"/>
      <c r="AJ451" s="72"/>
    </row>
    <row r="452" spans="1:36" s="69" customFormat="1" x14ac:dyDescent="0.25">
      <c r="A452" s="75"/>
      <c r="B452" s="75"/>
      <c r="C452" s="76"/>
      <c r="D452" s="76"/>
      <c r="E452" s="75"/>
      <c r="F452" s="75"/>
      <c r="G452" s="75"/>
      <c r="H452" s="75"/>
      <c r="I452" s="75"/>
      <c r="J452" s="75"/>
      <c r="K452" s="75"/>
      <c r="L452" s="75"/>
      <c r="M452" s="75"/>
      <c r="N452" s="75"/>
      <c r="O452" s="75"/>
      <c r="P452" s="75"/>
      <c r="Q452" s="75"/>
      <c r="R452" s="75"/>
      <c r="S452" s="75"/>
      <c r="T452" s="75"/>
      <c r="U452" s="75"/>
      <c r="V452" s="77"/>
      <c r="W452" s="75"/>
      <c r="X452" s="75"/>
      <c r="Y452" s="75"/>
      <c r="Z452" s="78"/>
      <c r="AA452" s="78"/>
      <c r="AB452" s="75"/>
      <c r="AJ452" s="72"/>
    </row>
    <row r="453" spans="1:36" s="69" customFormat="1" x14ac:dyDescent="0.25">
      <c r="A453" s="75"/>
      <c r="B453" s="75"/>
      <c r="C453" s="76"/>
      <c r="D453" s="76"/>
      <c r="E453" s="75"/>
      <c r="F453" s="75"/>
      <c r="G453" s="75"/>
      <c r="H453" s="75"/>
      <c r="I453" s="75"/>
      <c r="J453" s="75"/>
      <c r="K453" s="75"/>
      <c r="L453" s="75"/>
      <c r="M453" s="75"/>
      <c r="N453" s="75"/>
      <c r="O453" s="75"/>
      <c r="P453" s="75"/>
      <c r="Q453" s="75"/>
      <c r="R453" s="75"/>
      <c r="S453" s="75"/>
      <c r="T453" s="75"/>
      <c r="U453" s="75"/>
      <c r="V453" s="77"/>
      <c r="W453" s="75"/>
      <c r="X453" s="75"/>
      <c r="Y453" s="75"/>
      <c r="Z453" s="78"/>
      <c r="AA453" s="78"/>
      <c r="AB453" s="75"/>
      <c r="AJ453" s="72"/>
    </row>
    <row r="454" spans="1:36" s="69" customFormat="1" x14ac:dyDescent="0.25">
      <c r="A454" s="75"/>
      <c r="B454" s="75"/>
      <c r="C454" s="76"/>
      <c r="D454" s="76"/>
      <c r="E454" s="75"/>
      <c r="F454" s="75"/>
      <c r="G454" s="75"/>
      <c r="H454" s="75"/>
      <c r="I454" s="75"/>
      <c r="J454" s="75"/>
      <c r="K454" s="75"/>
      <c r="L454" s="75"/>
      <c r="M454" s="75"/>
      <c r="N454" s="75"/>
      <c r="O454" s="75"/>
      <c r="P454" s="75"/>
      <c r="Q454" s="75"/>
      <c r="R454" s="75"/>
      <c r="S454" s="75"/>
      <c r="T454" s="75"/>
      <c r="U454" s="75"/>
      <c r="V454" s="77"/>
      <c r="W454" s="75"/>
      <c r="X454" s="75"/>
      <c r="Y454" s="75"/>
      <c r="Z454" s="78"/>
      <c r="AA454" s="78"/>
      <c r="AB454" s="75"/>
      <c r="AJ454" s="72"/>
    </row>
    <row r="455" spans="1:36" s="69" customFormat="1" x14ac:dyDescent="0.25">
      <c r="A455" s="75"/>
      <c r="B455" s="75"/>
      <c r="C455" s="76"/>
      <c r="D455" s="76"/>
      <c r="E455" s="75"/>
      <c r="F455" s="75"/>
      <c r="G455" s="75"/>
      <c r="H455" s="75"/>
      <c r="I455" s="75"/>
      <c r="J455" s="75"/>
      <c r="K455" s="75"/>
      <c r="L455" s="75"/>
      <c r="M455" s="75"/>
      <c r="N455" s="75"/>
      <c r="O455" s="75"/>
      <c r="P455" s="75"/>
      <c r="Q455" s="75"/>
      <c r="R455" s="75"/>
      <c r="S455" s="75"/>
      <c r="T455" s="75"/>
      <c r="U455" s="75"/>
      <c r="V455" s="77"/>
      <c r="W455" s="75"/>
      <c r="X455" s="75"/>
      <c r="Y455" s="75"/>
      <c r="Z455" s="78"/>
      <c r="AA455" s="78"/>
      <c r="AB455" s="75"/>
      <c r="AJ455" s="72"/>
    </row>
    <row r="456" spans="1:36" s="69" customFormat="1" x14ac:dyDescent="0.25">
      <c r="A456" s="75"/>
      <c r="B456" s="75"/>
      <c r="C456" s="76"/>
      <c r="D456" s="76"/>
      <c r="E456" s="75"/>
      <c r="F456" s="75"/>
      <c r="G456" s="75"/>
      <c r="H456" s="75"/>
      <c r="I456" s="75"/>
      <c r="J456" s="75"/>
      <c r="K456" s="75"/>
      <c r="L456" s="75"/>
      <c r="M456" s="75"/>
      <c r="N456" s="75"/>
      <c r="O456" s="75"/>
      <c r="P456" s="75"/>
      <c r="Q456" s="75"/>
      <c r="R456" s="75"/>
      <c r="S456" s="75"/>
      <c r="T456" s="75"/>
      <c r="U456" s="75"/>
      <c r="V456" s="77"/>
      <c r="W456" s="75"/>
      <c r="X456" s="75"/>
      <c r="Y456" s="75"/>
      <c r="Z456" s="78"/>
      <c r="AA456" s="78"/>
      <c r="AB456" s="75"/>
      <c r="AJ456" s="72"/>
    </row>
    <row r="457" spans="1:36" s="69" customFormat="1" x14ac:dyDescent="0.25">
      <c r="A457" s="75"/>
      <c r="B457" s="75"/>
      <c r="C457" s="76"/>
      <c r="D457" s="76"/>
      <c r="E457" s="75"/>
      <c r="F457" s="75"/>
      <c r="G457" s="75"/>
      <c r="H457" s="75"/>
      <c r="I457" s="75"/>
      <c r="J457" s="75"/>
      <c r="K457" s="75"/>
      <c r="L457" s="75"/>
      <c r="M457" s="75"/>
      <c r="N457" s="75"/>
      <c r="O457" s="75"/>
      <c r="P457" s="75"/>
      <c r="Q457" s="75"/>
      <c r="R457" s="75"/>
      <c r="S457" s="75"/>
      <c r="T457" s="75"/>
      <c r="U457" s="75"/>
      <c r="V457" s="77"/>
      <c r="W457" s="75"/>
      <c r="X457" s="75"/>
      <c r="Y457" s="75"/>
      <c r="Z457" s="78"/>
      <c r="AA457" s="78"/>
      <c r="AB457" s="75"/>
      <c r="AJ457" s="72"/>
    </row>
    <row r="458" spans="1:36" s="69" customFormat="1" x14ac:dyDescent="0.25">
      <c r="A458" s="75"/>
      <c r="B458" s="75"/>
      <c r="C458" s="76"/>
      <c r="D458" s="76"/>
      <c r="E458" s="75"/>
      <c r="F458" s="75"/>
      <c r="G458" s="75"/>
      <c r="H458" s="75"/>
      <c r="I458" s="75"/>
      <c r="J458" s="75"/>
      <c r="K458" s="75"/>
      <c r="L458" s="75"/>
      <c r="M458" s="75"/>
      <c r="N458" s="75"/>
      <c r="O458" s="75"/>
      <c r="P458" s="75"/>
      <c r="Q458" s="75"/>
      <c r="R458" s="75"/>
      <c r="S458" s="75"/>
      <c r="T458" s="75"/>
      <c r="U458" s="75"/>
      <c r="V458" s="77"/>
      <c r="W458" s="75"/>
      <c r="X458" s="75"/>
      <c r="Y458" s="75"/>
      <c r="Z458" s="78"/>
      <c r="AA458" s="78"/>
      <c r="AB458" s="75"/>
      <c r="AJ458" s="72"/>
    </row>
    <row r="459" spans="1:36" s="69" customFormat="1" x14ac:dyDescent="0.25">
      <c r="A459" s="75"/>
      <c r="B459" s="75"/>
      <c r="C459" s="76"/>
      <c r="D459" s="76"/>
      <c r="E459" s="75"/>
      <c r="F459" s="75"/>
      <c r="G459" s="75"/>
      <c r="H459" s="75"/>
      <c r="I459" s="75"/>
      <c r="J459" s="75"/>
      <c r="K459" s="75"/>
      <c r="L459" s="75"/>
      <c r="M459" s="75"/>
      <c r="N459" s="75"/>
      <c r="O459" s="75"/>
      <c r="P459" s="75"/>
      <c r="Q459" s="75"/>
      <c r="R459" s="75"/>
      <c r="S459" s="75"/>
      <c r="T459" s="75"/>
      <c r="U459" s="75"/>
      <c r="V459" s="77"/>
      <c r="W459" s="75"/>
      <c r="X459" s="75"/>
      <c r="Y459" s="75"/>
      <c r="Z459" s="78"/>
      <c r="AA459" s="78"/>
      <c r="AB459" s="75"/>
      <c r="AJ459" s="72"/>
    </row>
    <row r="460" spans="1:36" s="69" customFormat="1" x14ac:dyDescent="0.25">
      <c r="A460" s="75"/>
      <c r="B460" s="75"/>
      <c r="C460" s="76"/>
      <c r="D460" s="76"/>
      <c r="E460" s="75"/>
      <c r="F460" s="75"/>
      <c r="G460" s="75"/>
      <c r="H460" s="75"/>
      <c r="I460" s="75"/>
      <c r="J460" s="75"/>
      <c r="K460" s="75"/>
      <c r="L460" s="75"/>
      <c r="M460" s="75"/>
      <c r="N460" s="75"/>
      <c r="O460" s="75"/>
      <c r="P460" s="75"/>
      <c r="Q460" s="75"/>
      <c r="R460" s="75"/>
      <c r="S460" s="75"/>
      <c r="T460" s="75"/>
      <c r="U460" s="75"/>
      <c r="V460" s="77"/>
      <c r="W460" s="75"/>
      <c r="X460" s="75"/>
      <c r="Y460" s="75"/>
      <c r="Z460" s="78"/>
      <c r="AA460" s="78"/>
      <c r="AB460" s="75"/>
      <c r="AJ460" s="72"/>
    </row>
    <row r="461" spans="1:36" s="69" customFormat="1" x14ac:dyDescent="0.25">
      <c r="A461" s="75"/>
      <c r="B461" s="75"/>
      <c r="C461" s="76"/>
      <c r="D461" s="76"/>
      <c r="E461" s="75"/>
      <c r="F461" s="75"/>
      <c r="G461" s="75"/>
      <c r="H461" s="75"/>
      <c r="I461" s="75"/>
      <c r="J461" s="75"/>
      <c r="K461" s="75"/>
      <c r="L461" s="75"/>
      <c r="M461" s="75"/>
      <c r="N461" s="75"/>
      <c r="O461" s="75"/>
      <c r="P461" s="75"/>
      <c r="Q461" s="75"/>
      <c r="R461" s="75"/>
      <c r="S461" s="75"/>
      <c r="T461" s="75"/>
      <c r="U461" s="75"/>
      <c r="V461" s="77"/>
      <c r="W461" s="75"/>
      <c r="X461" s="75"/>
      <c r="Y461" s="75"/>
      <c r="Z461" s="78"/>
      <c r="AA461" s="78"/>
      <c r="AB461" s="75"/>
      <c r="AJ461" s="72"/>
    </row>
    <row r="462" spans="1:36" s="69" customFormat="1" x14ac:dyDescent="0.25">
      <c r="A462" s="75"/>
      <c r="B462" s="75"/>
      <c r="C462" s="76"/>
      <c r="D462" s="76"/>
      <c r="E462" s="75"/>
      <c r="F462" s="75"/>
      <c r="G462" s="75"/>
      <c r="H462" s="75"/>
      <c r="I462" s="75"/>
      <c r="J462" s="75"/>
      <c r="K462" s="75"/>
      <c r="L462" s="75"/>
      <c r="M462" s="75"/>
      <c r="N462" s="75"/>
      <c r="O462" s="75"/>
      <c r="P462" s="75"/>
      <c r="Q462" s="75"/>
      <c r="R462" s="75"/>
      <c r="S462" s="75"/>
      <c r="T462" s="75"/>
      <c r="U462" s="75"/>
      <c r="V462" s="77"/>
      <c r="W462" s="75"/>
      <c r="X462" s="75"/>
      <c r="Y462" s="75"/>
      <c r="Z462" s="78"/>
      <c r="AA462" s="78"/>
      <c r="AB462" s="75"/>
      <c r="AJ462" s="72"/>
    </row>
    <row r="463" spans="1:36" s="69" customFormat="1" x14ac:dyDescent="0.25">
      <c r="A463" s="75"/>
      <c r="B463" s="75"/>
      <c r="C463" s="76"/>
      <c r="D463" s="76"/>
      <c r="E463" s="75"/>
      <c r="F463" s="75"/>
      <c r="G463" s="75"/>
      <c r="H463" s="75"/>
      <c r="I463" s="75"/>
      <c r="J463" s="75"/>
      <c r="K463" s="75"/>
      <c r="L463" s="75"/>
      <c r="M463" s="75"/>
      <c r="N463" s="75"/>
      <c r="O463" s="75"/>
      <c r="P463" s="75"/>
      <c r="Q463" s="75"/>
      <c r="R463" s="75"/>
      <c r="S463" s="75"/>
      <c r="T463" s="75"/>
      <c r="U463" s="75"/>
      <c r="V463" s="77"/>
      <c r="W463" s="75"/>
      <c r="X463" s="75"/>
      <c r="Y463" s="75"/>
      <c r="Z463" s="78"/>
      <c r="AA463" s="78"/>
      <c r="AB463" s="75"/>
      <c r="AJ463" s="72"/>
    </row>
    <row r="464" spans="1:36" s="69" customFormat="1" x14ac:dyDescent="0.25">
      <c r="A464" s="75"/>
      <c r="B464" s="75"/>
      <c r="C464" s="76"/>
      <c r="D464" s="76"/>
      <c r="E464" s="75"/>
      <c r="F464" s="75"/>
      <c r="G464" s="75"/>
      <c r="H464" s="75"/>
      <c r="I464" s="75"/>
      <c r="J464" s="75"/>
      <c r="K464" s="75"/>
      <c r="L464" s="75"/>
      <c r="M464" s="75"/>
      <c r="N464" s="75"/>
      <c r="O464" s="75"/>
      <c r="P464" s="75"/>
      <c r="Q464" s="75"/>
      <c r="R464" s="75"/>
      <c r="S464" s="75"/>
      <c r="T464" s="75"/>
      <c r="U464" s="75"/>
      <c r="V464" s="77"/>
      <c r="W464" s="75"/>
      <c r="X464" s="75"/>
      <c r="Y464" s="75"/>
      <c r="Z464" s="78"/>
      <c r="AA464" s="78"/>
      <c r="AB464" s="75"/>
      <c r="AJ464" s="72"/>
    </row>
    <row r="465" spans="1:36" s="69" customFormat="1" x14ac:dyDescent="0.25">
      <c r="A465" s="75"/>
      <c r="B465" s="75"/>
      <c r="C465" s="76"/>
      <c r="D465" s="76"/>
      <c r="E465" s="75"/>
      <c r="F465" s="75"/>
      <c r="G465" s="75"/>
      <c r="H465" s="75"/>
      <c r="I465" s="75"/>
      <c r="J465" s="75"/>
      <c r="K465" s="75"/>
      <c r="L465" s="75"/>
      <c r="M465" s="75"/>
      <c r="N465" s="75"/>
      <c r="O465" s="75"/>
      <c r="P465" s="75"/>
      <c r="Q465" s="75"/>
      <c r="R465" s="75"/>
      <c r="S465" s="75"/>
      <c r="T465" s="75"/>
      <c r="U465" s="75"/>
      <c r="V465" s="77"/>
      <c r="W465" s="75"/>
      <c r="X465" s="75"/>
      <c r="Y465" s="75"/>
      <c r="Z465" s="78"/>
      <c r="AA465" s="78"/>
      <c r="AB465" s="75"/>
      <c r="AJ465" s="72"/>
    </row>
    <row r="466" spans="1:36" s="69" customFormat="1" x14ac:dyDescent="0.25">
      <c r="A466" s="75"/>
      <c r="B466" s="75"/>
      <c r="C466" s="76"/>
      <c r="D466" s="76"/>
      <c r="E466" s="75"/>
      <c r="F466" s="75"/>
      <c r="G466" s="75"/>
      <c r="H466" s="75"/>
      <c r="I466" s="75"/>
      <c r="J466" s="75"/>
      <c r="K466" s="75"/>
      <c r="L466" s="75"/>
      <c r="M466" s="75"/>
      <c r="N466" s="75"/>
      <c r="O466" s="75"/>
      <c r="P466" s="75"/>
      <c r="Q466" s="75"/>
      <c r="R466" s="75"/>
      <c r="S466" s="75"/>
      <c r="T466" s="75"/>
      <c r="U466" s="75"/>
      <c r="V466" s="77"/>
      <c r="W466" s="75"/>
      <c r="X466" s="75"/>
      <c r="Y466" s="75"/>
      <c r="Z466" s="78"/>
      <c r="AA466" s="78"/>
      <c r="AB466" s="75"/>
      <c r="AJ466" s="72"/>
    </row>
    <row r="467" spans="1:36" s="69" customFormat="1" x14ac:dyDescent="0.25">
      <c r="A467" s="75"/>
      <c r="B467" s="75"/>
      <c r="C467" s="76"/>
      <c r="D467" s="76"/>
      <c r="E467" s="75"/>
      <c r="F467" s="75"/>
      <c r="G467" s="75"/>
      <c r="H467" s="75"/>
      <c r="I467" s="75"/>
      <c r="J467" s="75"/>
      <c r="K467" s="75"/>
      <c r="L467" s="75"/>
      <c r="M467" s="75"/>
      <c r="N467" s="75"/>
      <c r="O467" s="75"/>
      <c r="P467" s="75"/>
      <c r="Q467" s="75"/>
      <c r="R467" s="75"/>
      <c r="S467" s="75"/>
      <c r="T467" s="75"/>
      <c r="U467" s="75"/>
      <c r="V467" s="77"/>
      <c r="W467" s="75"/>
      <c r="X467" s="75"/>
      <c r="Y467" s="75"/>
      <c r="Z467" s="78"/>
      <c r="AA467" s="78"/>
      <c r="AB467" s="75"/>
      <c r="AJ467" s="72"/>
    </row>
    <row r="468" spans="1:36" s="69" customFormat="1" x14ac:dyDescent="0.25">
      <c r="A468" s="75"/>
      <c r="B468" s="75"/>
      <c r="C468" s="76"/>
      <c r="D468" s="76"/>
      <c r="E468" s="75"/>
      <c r="F468" s="75"/>
      <c r="G468" s="75"/>
      <c r="H468" s="75"/>
      <c r="I468" s="75"/>
      <c r="J468" s="75"/>
      <c r="K468" s="75"/>
      <c r="L468" s="75"/>
      <c r="M468" s="75"/>
      <c r="N468" s="75"/>
      <c r="O468" s="75"/>
      <c r="P468" s="75"/>
      <c r="Q468" s="75"/>
      <c r="R468" s="75"/>
      <c r="S468" s="75"/>
      <c r="T468" s="75"/>
      <c r="U468" s="75"/>
      <c r="V468" s="77"/>
      <c r="W468" s="75"/>
      <c r="X468" s="75"/>
      <c r="Y468" s="75"/>
      <c r="Z468" s="78"/>
      <c r="AA468" s="78"/>
      <c r="AB468" s="75"/>
      <c r="AJ468" s="72"/>
    </row>
    <row r="469" spans="1:36" s="69" customFormat="1" x14ac:dyDescent="0.25">
      <c r="A469" s="75"/>
      <c r="B469" s="75"/>
      <c r="C469" s="76"/>
      <c r="D469" s="76"/>
      <c r="E469" s="75"/>
      <c r="F469" s="75"/>
      <c r="G469" s="75"/>
      <c r="H469" s="75"/>
      <c r="I469" s="75"/>
      <c r="J469" s="75"/>
      <c r="K469" s="75"/>
      <c r="L469" s="75"/>
      <c r="M469" s="75"/>
      <c r="N469" s="75"/>
      <c r="O469" s="75"/>
      <c r="P469" s="75"/>
      <c r="Q469" s="75"/>
      <c r="R469" s="75"/>
      <c r="S469" s="75"/>
      <c r="T469" s="75"/>
      <c r="U469" s="75"/>
      <c r="V469" s="77"/>
      <c r="W469" s="75"/>
      <c r="X469" s="75"/>
      <c r="Y469" s="75"/>
      <c r="Z469" s="78"/>
      <c r="AA469" s="78"/>
      <c r="AB469" s="75"/>
      <c r="AJ469" s="72"/>
    </row>
    <row r="470" spans="1:36" s="69" customFormat="1" x14ac:dyDescent="0.25">
      <c r="A470" s="75"/>
      <c r="B470" s="75"/>
      <c r="C470" s="76"/>
      <c r="D470" s="76"/>
      <c r="E470" s="75"/>
      <c r="F470" s="75"/>
      <c r="G470" s="75"/>
      <c r="H470" s="75"/>
      <c r="I470" s="75"/>
      <c r="J470" s="75"/>
      <c r="K470" s="75"/>
      <c r="L470" s="75"/>
      <c r="M470" s="75"/>
      <c r="N470" s="75"/>
      <c r="O470" s="75"/>
      <c r="P470" s="75"/>
      <c r="Q470" s="75"/>
      <c r="R470" s="75"/>
      <c r="S470" s="75"/>
      <c r="T470" s="75"/>
      <c r="U470" s="75"/>
      <c r="V470" s="77"/>
      <c r="W470" s="75"/>
      <c r="X470" s="75"/>
      <c r="Y470" s="75"/>
      <c r="Z470" s="78"/>
      <c r="AA470" s="78"/>
      <c r="AB470" s="75"/>
      <c r="AJ470" s="72"/>
    </row>
    <row r="471" spans="1:36" s="69" customFormat="1" x14ac:dyDescent="0.25">
      <c r="A471" s="75"/>
      <c r="B471" s="75"/>
      <c r="C471" s="76"/>
      <c r="D471" s="76"/>
      <c r="E471" s="75"/>
      <c r="F471" s="75"/>
      <c r="G471" s="75"/>
      <c r="H471" s="75"/>
      <c r="I471" s="75"/>
      <c r="J471" s="75"/>
      <c r="K471" s="75"/>
      <c r="L471" s="75"/>
      <c r="M471" s="75"/>
      <c r="N471" s="75"/>
      <c r="O471" s="75"/>
      <c r="P471" s="75"/>
      <c r="Q471" s="75"/>
      <c r="R471" s="75"/>
      <c r="S471" s="75"/>
      <c r="T471" s="75"/>
      <c r="U471" s="75"/>
      <c r="V471" s="77"/>
      <c r="W471" s="75"/>
      <c r="X471" s="75"/>
      <c r="Y471" s="75"/>
      <c r="Z471" s="78"/>
      <c r="AA471" s="78"/>
      <c r="AB471" s="75"/>
      <c r="AJ471" s="72"/>
    </row>
    <row r="472" spans="1:36" s="69" customFormat="1" x14ac:dyDescent="0.25">
      <c r="A472" s="75"/>
      <c r="B472" s="75"/>
      <c r="C472" s="76"/>
      <c r="D472" s="76"/>
      <c r="E472" s="75"/>
      <c r="F472" s="75"/>
      <c r="G472" s="75"/>
      <c r="H472" s="75"/>
      <c r="I472" s="75"/>
      <c r="J472" s="75"/>
      <c r="K472" s="75"/>
      <c r="L472" s="75"/>
      <c r="M472" s="75"/>
      <c r="N472" s="75"/>
      <c r="O472" s="75"/>
      <c r="P472" s="75"/>
      <c r="Q472" s="75"/>
      <c r="R472" s="75"/>
      <c r="S472" s="75"/>
      <c r="T472" s="75"/>
      <c r="U472" s="75"/>
      <c r="V472" s="77"/>
      <c r="W472" s="75"/>
      <c r="X472" s="75"/>
      <c r="Y472" s="75"/>
      <c r="Z472" s="78"/>
      <c r="AA472" s="78"/>
      <c r="AB472" s="75"/>
      <c r="AJ472" s="72"/>
    </row>
    <row r="473" spans="1:36" s="69" customFormat="1" x14ac:dyDescent="0.25">
      <c r="A473" s="75"/>
      <c r="B473" s="75"/>
      <c r="C473" s="76"/>
      <c r="D473" s="76"/>
      <c r="E473" s="75"/>
      <c r="F473" s="75"/>
      <c r="G473" s="75"/>
      <c r="H473" s="75"/>
      <c r="I473" s="75"/>
      <c r="J473" s="75"/>
      <c r="K473" s="75"/>
      <c r="L473" s="75"/>
      <c r="M473" s="75"/>
      <c r="N473" s="75"/>
      <c r="O473" s="75"/>
      <c r="P473" s="75"/>
      <c r="Q473" s="75"/>
      <c r="R473" s="75"/>
      <c r="S473" s="75"/>
      <c r="T473" s="75"/>
      <c r="U473" s="75"/>
      <c r="V473" s="77"/>
      <c r="W473" s="75"/>
      <c r="X473" s="75"/>
      <c r="Y473" s="75"/>
      <c r="Z473" s="78"/>
      <c r="AA473" s="78"/>
      <c r="AB473" s="75"/>
      <c r="AJ473" s="72"/>
    </row>
    <row r="474" spans="1:36" s="69" customFormat="1" x14ac:dyDescent="0.25">
      <c r="A474" s="75"/>
      <c r="B474" s="75"/>
      <c r="C474" s="76"/>
      <c r="D474" s="76"/>
      <c r="E474" s="75"/>
      <c r="F474" s="75"/>
      <c r="G474" s="75"/>
      <c r="H474" s="75"/>
      <c r="I474" s="75"/>
      <c r="J474" s="75"/>
      <c r="K474" s="75"/>
      <c r="L474" s="75"/>
      <c r="M474" s="75"/>
      <c r="N474" s="75"/>
      <c r="O474" s="75"/>
      <c r="P474" s="75"/>
      <c r="Q474" s="75"/>
      <c r="R474" s="75"/>
      <c r="S474" s="75"/>
      <c r="T474" s="75"/>
      <c r="U474" s="75"/>
      <c r="V474" s="77"/>
      <c r="W474" s="75"/>
      <c r="X474" s="75"/>
      <c r="Y474" s="75"/>
      <c r="Z474" s="78"/>
      <c r="AA474" s="78"/>
      <c r="AB474" s="75"/>
      <c r="AJ474" s="72"/>
    </row>
    <row r="475" spans="1:36" s="69" customFormat="1" x14ac:dyDescent="0.25">
      <c r="A475" s="75"/>
      <c r="B475" s="75"/>
      <c r="C475" s="76"/>
      <c r="D475" s="76"/>
      <c r="E475" s="75"/>
      <c r="F475" s="75"/>
      <c r="G475" s="75"/>
      <c r="H475" s="75"/>
      <c r="I475" s="75"/>
      <c r="J475" s="75"/>
      <c r="K475" s="75"/>
      <c r="L475" s="75"/>
      <c r="M475" s="75"/>
      <c r="N475" s="75"/>
      <c r="O475" s="75"/>
      <c r="P475" s="75"/>
      <c r="Q475" s="75"/>
      <c r="R475" s="75"/>
      <c r="S475" s="75"/>
      <c r="T475" s="75"/>
      <c r="U475" s="75"/>
      <c r="V475" s="77"/>
      <c r="W475" s="75"/>
      <c r="X475" s="75"/>
      <c r="Y475" s="75"/>
      <c r="Z475" s="78"/>
      <c r="AA475" s="78"/>
      <c r="AB475" s="75"/>
      <c r="AJ475" s="72"/>
    </row>
    <row r="476" spans="1:36" s="69" customFormat="1" x14ac:dyDescent="0.25">
      <c r="A476" s="75"/>
      <c r="B476" s="75"/>
      <c r="C476" s="76"/>
      <c r="D476" s="76"/>
      <c r="E476" s="75"/>
      <c r="F476" s="75"/>
      <c r="G476" s="75"/>
      <c r="H476" s="75"/>
      <c r="I476" s="75"/>
      <c r="J476" s="75"/>
      <c r="K476" s="75"/>
      <c r="L476" s="75"/>
      <c r="M476" s="75"/>
      <c r="N476" s="75"/>
      <c r="O476" s="75"/>
      <c r="P476" s="75"/>
      <c r="Q476" s="75"/>
      <c r="R476" s="75"/>
      <c r="S476" s="75"/>
      <c r="T476" s="75"/>
      <c r="U476" s="75"/>
      <c r="V476" s="77"/>
      <c r="W476" s="75"/>
      <c r="X476" s="75"/>
      <c r="Y476" s="75"/>
      <c r="Z476" s="78"/>
      <c r="AA476" s="78"/>
      <c r="AB476" s="75"/>
      <c r="AJ476" s="72"/>
    </row>
    <row r="477" spans="1:36" s="69" customFormat="1" x14ac:dyDescent="0.25">
      <c r="A477" s="75"/>
      <c r="B477" s="75"/>
      <c r="C477" s="76"/>
      <c r="D477" s="76"/>
      <c r="E477" s="75"/>
      <c r="F477" s="75"/>
      <c r="G477" s="75"/>
      <c r="H477" s="75"/>
      <c r="I477" s="75"/>
      <c r="J477" s="75"/>
      <c r="K477" s="75"/>
      <c r="L477" s="75"/>
      <c r="M477" s="75"/>
      <c r="N477" s="75"/>
      <c r="O477" s="75"/>
      <c r="P477" s="75"/>
      <c r="Q477" s="75"/>
      <c r="R477" s="75"/>
      <c r="S477" s="75"/>
      <c r="T477" s="75"/>
      <c r="U477" s="75"/>
      <c r="V477" s="77"/>
      <c r="W477" s="75"/>
      <c r="X477" s="75"/>
      <c r="Y477" s="75"/>
      <c r="Z477" s="78"/>
      <c r="AA477" s="78"/>
      <c r="AB477" s="75"/>
      <c r="AJ477" s="72"/>
    </row>
    <row r="478" spans="1:36" s="69" customFormat="1" x14ac:dyDescent="0.25">
      <c r="A478" s="75"/>
      <c r="B478" s="75"/>
      <c r="C478" s="76"/>
      <c r="D478" s="76"/>
      <c r="E478" s="75"/>
      <c r="F478" s="75"/>
      <c r="G478" s="75"/>
      <c r="H478" s="75"/>
      <c r="I478" s="75"/>
      <c r="J478" s="75"/>
      <c r="K478" s="75"/>
      <c r="L478" s="75"/>
      <c r="M478" s="75"/>
      <c r="N478" s="75"/>
      <c r="O478" s="75"/>
      <c r="P478" s="75"/>
      <c r="Q478" s="75"/>
      <c r="R478" s="75"/>
      <c r="S478" s="75"/>
      <c r="T478" s="75"/>
      <c r="U478" s="75"/>
      <c r="V478" s="77"/>
      <c r="W478" s="75"/>
      <c r="X478" s="75"/>
      <c r="Y478" s="75"/>
      <c r="Z478" s="78"/>
      <c r="AA478" s="78"/>
      <c r="AB478" s="75"/>
      <c r="AJ478" s="72"/>
    </row>
    <row r="479" spans="1:36" s="69" customFormat="1" x14ac:dyDescent="0.25">
      <c r="A479" s="75"/>
      <c r="B479" s="75"/>
      <c r="C479" s="76"/>
      <c r="D479" s="76"/>
      <c r="E479" s="75"/>
      <c r="F479" s="75"/>
      <c r="G479" s="75"/>
      <c r="H479" s="75"/>
      <c r="I479" s="75"/>
      <c r="J479" s="75"/>
      <c r="K479" s="75"/>
      <c r="L479" s="75"/>
      <c r="M479" s="75"/>
      <c r="N479" s="75"/>
      <c r="O479" s="75"/>
      <c r="P479" s="75"/>
      <c r="Q479" s="75"/>
      <c r="R479" s="75"/>
      <c r="S479" s="75"/>
      <c r="T479" s="75"/>
      <c r="U479" s="75"/>
      <c r="V479" s="77"/>
      <c r="W479" s="75"/>
      <c r="X479" s="75"/>
      <c r="Y479" s="75"/>
      <c r="Z479" s="78"/>
      <c r="AA479" s="78"/>
      <c r="AB479" s="75"/>
      <c r="AJ479" s="72"/>
    </row>
    <row r="480" spans="1:36" s="69" customFormat="1" x14ac:dyDescent="0.25">
      <c r="A480" s="75"/>
      <c r="B480" s="75"/>
      <c r="C480" s="76"/>
      <c r="D480" s="76"/>
      <c r="E480" s="75"/>
      <c r="F480" s="75"/>
      <c r="G480" s="75"/>
      <c r="H480" s="75"/>
      <c r="I480" s="75"/>
      <c r="J480" s="75"/>
      <c r="K480" s="75"/>
      <c r="L480" s="75"/>
      <c r="M480" s="75"/>
      <c r="N480" s="75"/>
      <c r="O480" s="75"/>
      <c r="P480" s="75"/>
      <c r="Q480" s="75"/>
      <c r="R480" s="75"/>
      <c r="S480" s="75"/>
      <c r="T480" s="75"/>
      <c r="U480" s="75"/>
      <c r="V480" s="77"/>
      <c r="W480" s="75"/>
      <c r="X480" s="75"/>
      <c r="Y480" s="75"/>
      <c r="Z480" s="78"/>
      <c r="AA480" s="78"/>
      <c r="AB480" s="75"/>
      <c r="AJ480" s="72"/>
    </row>
    <row r="481" spans="1:36" s="69" customFormat="1" x14ac:dyDescent="0.25">
      <c r="A481" s="75"/>
      <c r="B481" s="75"/>
      <c r="C481" s="76"/>
      <c r="D481" s="76"/>
      <c r="E481" s="75"/>
      <c r="F481" s="75"/>
      <c r="G481" s="75"/>
      <c r="H481" s="75"/>
      <c r="I481" s="75"/>
      <c r="J481" s="75"/>
      <c r="K481" s="75"/>
      <c r="L481" s="75"/>
      <c r="M481" s="75"/>
      <c r="N481" s="75"/>
      <c r="O481" s="75"/>
      <c r="P481" s="75"/>
      <c r="Q481" s="75"/>
      <c r="R481" s="75"/>
      <c r="S481" s="75"/>
      <c r="T481" s="75"/>
      <c r="U481" s="75"/>
      <c r="V481" s="77"/>
      <c r="W481" s="75"/>
      <c r="X481" s="75"/>
      <c r="Y481" s="75"/>
      <c r="Z481" s="78"/>
      <c r="AA481" s="78"/>
      <c r="AB481" s="75"/>
      <c r="AJ481" s="72"/>
    </row>
    <row r="482" spans="1:36" s="69" customFormat="1" x14ac:dyDescent="0.25">
      <c r="A482" s="75"/>
      <c r="B482" s="75"/>
      <c r="C482" s="76"/>
      <c r="D482" s="76"/>
      <c r="E482" s="75"/>
      <c r="F482" s="75"/>
      <c r="G482" s="75"/>
      <c r="H482" s="75"/>
      <c r="I482" s="75"/>
      <c r="J482" s="75"/>
      <c r="K482" s="75"/>
      <c r="L482" s="75"/>
      <c r="M482" s="75"/>
      <c r="N482" s="75"/>
      <c r="O482" s="75"/>
      <c r="P482" s="75"/>
      <c r="Q482" s="75"/>
      <c r="R482" s="75"/>
      <c r="S482" s="75"/>
      <c r="T482" s="75"/>
      <c r="U482" s="75"/>
      <c r="V482" s="77"/>
      <c r="W482" s="75"/>
      <c r="X482" s="75"/>
      <c r="Y482" s="75"/>
      <c r="Z482" s="78"/>
      <c r="AA482" s="78"/>
      <c r="AB482" s="75"/>
      <c r="AJ482" s="72"/>
    </row>
    <row r="483" spans="1:36" s="69" customFormat="1" x14ac:dyDescent="0.25">
      <c r="A483" s="75"/>
      <c r="B483" s="75"/>
      <c r="C483" s="76"/>
      <c r="D483" s="76"/>
      <c r="E483" s="75"/>
      <c r="F483" s="75"/>
      <c r="G483" s="75"/>
      <c r="H483" s="75"/>
      <c r="I483" s="75"/>
      <c r="J483" s="75"/>
      <c r="K483" s="75"/>
      <c r="L483" s="75"/>
      <c r="M483" s="75"/>
      <c r="N483" s="75"/>
      <c r="O483" s="75"/>
      <c r="P483" s="75"/>
      <c r="Q483" s="75"/>
      <c r="R483" s="75"/>
      <c r="S483" s="75"/>
      <c r="T483" s="75"/>
      <c r="U483" s="75"/>
      <c r="V483" s="77"/>
      <c r="W483" s="75"/>
      <c r="X483" s="75"/>
      <c r="Y483" s="75"/>
      <c r="Z483" s="78"/>
      <c r="AA483" s="78"/>
      <c r="AB483" s="75"/>
      <c r="AJ483" s="72"/>
    </row>
    <row r="484" spans="1:36" s="69" customFormat="1" x14ac:dyDescent="0.25">
      <c r="A484" s="75"/>
      <c r="B484" s="75"/>
      <c r="C484" s="76"/>
      <c r="D484" s="76"/>
      <c r="E484" s="75"/>
      <c r="F484" s="75"/>
      <c r="G484" s="75"/>
      <c r="H484" s="75"/>
      <c r="I484" s="75"/>
      <c r="J484" s="75"/>
      <c r="K484" s="75"/>
      <c r="L484" s="75"/>
      <c r="M484" s="75"/>
      <c r="N484" s="75"/>
      <c r="O484" s="75"/>
      <c r="P484" s="75"/>
      <c r="Q484" s="75"/>
      <c r="R484" s="75"/>
      <c r="S484" s="75"/>
      <c r="T484" s="75"/>
      <c r="U484" s="75"/>
      <c r="V484" s="77"/>
      <c r="W484" s="75"/>
      <c r="X484" s="75"/>
      <c r="Y484" s="75"/>
      <c r="Z484" s="78"/>
      <c r="AA484" s="78"/>
      <c r="AB484" s="75"/>
      <c r="AJ484" s="72"/>
    </row>
    <row r="485" spans="1:36" s="69" customFormat="1" x14ac:dyDescent="0.25">
      <c r="A485" s="75"/>
      <c r="B485" s="75"/>
      <c r="C485" s="76"/>
      <c r="D485" s="76"/>
      <c r="E485" s="75"/>
      <c r="F485" s="75"/>
      <c r="G485" s="75"/>
      <c r="H485" s="75"/>
      <c r="I485" s="75"/>
      <c r="J485" s="75"/>
      <c r="K485" s="75"/>
      <c r="L485" s="75"/>
      <c r="M485" s="75"/>
      <c r="N485" s="75"/>
      <c r="O485" s="75"/>
      <c r="P485" s="75"/>
      <c r="Q485" s="75"/>
      <c r="R485" s="75"/>
      <c r="S485" s="75"/>
      <c r="T485" s="75"/>
      <c r="U485" s="75"/>
      <c r="V485" s="77"/>
      <c r="W485" s="75"/>
      <c r="X485" s="75"/>
      <c r="Y485" s="75"/>
      <c r="Z485" s="78"/>
      <c r="AA485" s="78"/>
      <c r="AB485" s="75"/>
      <c r="AJ485" s="72"/>
    </row>
    <row r="486" spans="1:36" s="69" customFormat="1" x14ac:dyDescent="0.25">
      <c r="A486" s="75"/>
      <c r="B486" s="75"/>
      <c r="C486" s="76"/>
      <c r="D486" s="76"/>
      <c r="E486" s="75"/>
      <c r="F486" s="75"/>
      <c r="G486" s="75"/>
      <c r="H486" s="75"/>
      <c r="I486" s="75"/>
      <c r="J486" s="75"/>
      <c r="K486" s="75"/>
      <c r="L486" s="75"/>
      <c r="M486" s="75"/>
      <c r="N486" s="75"/>
      <c r="O486" s="75"/>
      <c r="P486" s="75"/>
      <c r="Q486" s="75"/>
      <c r="R486" s="75"/>
      <c r="S486" s="75"/>
      <c r="T486" s="75"/>
      <c r="U486" s="75"/>
      <c r="V486" s="77"/>
      <c r="W486" s="75"/>
      <c r="X486" s="75"/>
      <c r="Y486" s="75"/>
      <c r="Z486" s="78"/>
      <c r="AA486" s="78"/>
      <c r="AB486" s="75"/>
      <c r="AJ486" s="72"/>
    </row>
    <row r="487" spans="1:36" s="69" customFormat="1" x14ac:dyDescent="0.25">
      <c r="A487" s="75"/>
      <c r="B487" s="75"/>
      <c r="C487" s="76"/>
      <c r="D487" s="76"/>
      <c r="E487" s="75"/>
      <c r="F487" s="75"/>
      <c r="G487" s="75"/>
      <c r="H487" s="75"/>
      <c r="I487" s="75"/>
      <c r="J487" s="75"/>
      <c r="K487" s="75"/>
      <c r="L487" s="75"/>
      <c r="M487" s="75"/>
      <c r="N487" s="75"/>
      <c r="O487" s="75"/>
      <c r="P487" s="75"/>
      <c r="Q487" s="75"/>
      <c r="R487" s="75"/>
      <c r="S487" s="75"/>
      <c r="T487" s="75"/>
      <c r="U487" s="75"/>
      <c r="V487" s="77"/>
      <c r="W487" s="75"/>
      <c r="X487" s="75"/>
      <c r="Y487" s="75"/>
      <c r="Z487" s="78"/>
      <c r="AA487" s="78"/>
      <c r="AB487" s="75"/>
      <c r="AJ487" s="72"/>
    </row>
    <row r="488" spans="1:36" s="69" customFormat="1" x14ac:dyDescent="0.25">
      <c r="A488" s="75"/>
      <c r="B488" s="75"/>
      <c r="C488" s="76"/>
      <c r="D488" s="76"/>
      <c r="E488" s="75"/>
      <c r="F488" s="75"/>
      <c r="G488" s="75"/>
      <c r="H488" s="75"/>
      <c r="I488" s="75"/>
      <c r="J488" s="75"/>
      <c r="K488" s="75"/>
      <c r="L488" s="75"/>
      <c r="M488" s="75"/>
      <c r="N488" s="75"/>
      <c r="O488" s="75"/>
      <c r="P488" s="75"/>
      <c r="Q488" s="75"/>
      <c r="R488" s="75"/>
      <c r="S488" s="75"/>
      <c r="T488" s="75"/>
      <c r="U488" s="75"/>
      <c r="V488" s="77"/>
      <c r="W488" s="75"/>
      <c r="X488" s="75"/>
      <c r="Y488" s="75"/>
      <c r="Z488" s="78"/>
      <c r="AA488" s="78"/>
      <c r="AB488" s="75"/>
      <c r="AJ488" s="72"/>
    </row>
    <row r="489" spans="1:36" s="69" customFormat="1" x14ac:dyDescent="0.25">
      <c r="A489" s="75"/>
      <c r="B489" s="75"/>
      <c r="C489" s="76"/>
      <c r="D489" s="76"/>
      <c r="E489" s="75"/>
      <c r="F489" s="75"/>
      <c r="G489" s="75"/>
      <c r="H489" s="75"/>
      <c r="I489" s="75"/>
      <c r="J489" s="75"/>
      <c r="K489" s="75"/>
      <c r="L489" s="75"/>
      <c r="M489" s="75"/>
      <c r="N489" s="75"/>
      <c r="O489" s="75"/>
      <c r="P489" s="75"/>
      <c r="Q489" s="75"/>
      <c r="R489" s="75"/>
      <c r="S489" s="75"/>
      <c r="T489" s="75"/>
      <c r="U489" s="75"/>
      <c r="V489" s="77"/>
      <c r="W489" s="75"/>
      <c r="X489" s="75"/>
      <c r="Y489" s="75"/>
      <c r="Z489" s="78"/>
      <c r="AA489" s="78"/>
      <c r="AB489" s="75"/>
      <c r="AJ489" s="72"/>
    </row>
    <row r="490" spans="1:36" s="69" customFormat="1" x14ac:dyDescent="0.25">
      <c r="A490" s="75"/>
      <c r="B490" s="75"/>
      <c r="C490" s="76"/>
      <c r="D490" s="76"/>
      <c r="E490" s="75"/>
      <c r="F490" s="75"/>
      <c r="G490" s="75"/>
      <c r="H490" s="75"/>
      <c r="I490" s="75"/>
      <c r="J490" s="75"/>
      <c r="K490" s="75"/>
      <c r="L490" s="75"/>
      <c r="M490" s="75"/>
      <c r="N490" s="75"/>
      <c r="O490" s="75"/>
      <c r="P490" s="75"/>
      <c r="Q490" s="75"/>
      <c r="R490" s="75"/>
      <c r="S490" s="75"/>
      <c r="T490" s="75"/>
      <c r="U490" s="75"/>
      <c r="V490" s="77"/>
      <c r="W490" s="75"/>
      <c r="X490" s="75"/>
      <c r="Y490" s="75"/>
      <c r="Z490" s="78"/>
      <c r="AA490" s="78"/>
      <c r="AB490" s="75"/>
      <c r="AJ490" s="72"/>
    </row>
    <row r="491" spans="1:36" s="69" customFormat="1" x14ac:dyDescent="0.25">
      <c r="A491" s="75"/>
      <c r="B491" s="75"/>
      <c r="C491" s="76"/>
      <c r="D491" s="76"/>
      <c r="E491" s="75"/>
      <c r="F491" s="75"/>
      <c r="G491" s="75"/>
      <c r="H491" s="75"/>
      <c r="I491" s="75"/>
      <c r="J491" s="75"/>
      <c r="K491" s="75"/>
      <c r="L491" s="75"/>
      <c r="M491" s="75"/>
      <c r="N491" s="75"/>
      <c r="O491" s="75"/>
      <c r="P491" s="75"/>
      <c r="Q491" s="75"/>
      <c r="R491" s="75"/>
      <c r="S491" s="75"/>
      <c r="T491" s="75"/>
      <c r="U491" s="75"/>
      <c r="V491" s="77"/>
      <c r="W491" s="75"/>
      <c r="X491" s="75"/>
      <c r="Y491" s="75"/>
      <c r="Z491" s="78"/>
      <c r="AA491" s="78"/>
      <c r="AB491" s="75"/>
      <c r="AJ491" s="72"/>
    </row>
    <row r="492" spans="1:36" s="69" customFormat="1" x14ac:dyDescent="0.25">
      <c r="A492" s="75"/>
      <c r="B492" s="75"/>
      <c r="C492" s="76"/>
      <c r="D492" s="76"/>
      <c r="E492" s="75"/>
      <c r="F492" s="75"/>
      <c r="G492" s="75"/>
      <c r="H492" s="75"/>
      <c r="I492" s="75"/>
      <c r="J492" s="75"/>
      <c r="K492" s="75"/>
      <c r="L492" s="75"/>
      <c r="M492" s="75"/>
      <c r="N492" s="75"/>
      <c r="O492" s="75"/>
      <c r="P492" s="75"/>
      <c r="Q492" s="75"/>
      <c r="R492" s="75"/>
      <c r="S492" s="75"/>
      <c r="T492" s="75"/>
      <c r="U492" s="75"/>
      <c r="V492" s="77"/>
      <c r="W492" s="75"/>
      <c r="X492" s="75"/>
      <c r="Y492" s="75"/>
      <c r="Z492" s="78"/>
      <c r="AA492" s="78"/>
      <c r="AB492" s="75"/>
      <c r="AJ492" s="72"/>
    </row>
    <row r="493" spans="1:36" s="69" customFormat="1" x14ac:dyDescent="0.25">
      <c r="A493" s="75"/>
      <c r="B493" s="75"/>
      <c r="C493" s="76"/>
      <c r="D493" s="76"/>
      <c r="E493" s="75"/>
      <c r="F493" s="75"/>
      <c r="G493" s="75"/>
      <c r="H493" s="75"/>
      <c r="I493" s="75"/>
      <c r="J493" s="75"/>
      <c r="K493" s="75"/>
      <c r="L493" s="75"/>
      <c r="M493" s="75"/>
      <c r="N493" s="75"/>
      <c r="O493" s="75"/>
      <c r="P493" s="75"/>
      <c r="Q493" s="75"/>
      <c r="R493" s="75"/>
      <c r="S493" s="75"/>
      <c r="T493" s="75"/>
      <c r="U493" s="75"/>
      <c r="V493" s="77"/>
      <c r="W493" s="75"/>
      <c r="X493" s="75"/>
      <c r="Y493" s="75"/>
      <c r="Z493" s="78"/>
      <c r="AA493" s="78"/>
      <c r="AB493" s="75"/>
      <c r="AJ493" s="72"/>
    </row>
    <row r="494" spans="1:36" s="69" customFormat="1" x14ac:dyDescent="0.25">
      <c r="A494" s="75"/>
      <c r="B494" s="75"/>
      <c r="C494" s="76"/>
      <c r="D494" s="76"/>
      <c r="E494" s="75"/>
      <c r="F494" s="75"/>
      <c r="G494" s="75"/>
      <c r="H494" s="75"/>
      <c r="I494" s="75"/>
      <c r="J494" s="75"/>
      <c r="K494" s="75"/>
      <c r="L494" s="75"/>
      <c r="M494" s="75"/>
      <c r="N494" s="75"/>
      <c r="O494" s="75"/>
      <c r="P494" s="75"/>
      <c r="Q494" s="75"/>
      <c r="R494" s="75"/>
      <c r="S494" s="75"/>
      <c r="T494" s="75"/>
      <c r="U494" s="75"/>
      <c r="V494" s="77"/>
      <c r="W494" s="75"/>
      <c r="X494" s="75"/>
      <c r="Y494" s="75"/>
      <c r="Z494" s="78"/>
      <c r="AA494" s="78"/>
      <c r="AB494" s="75"/>
      <c r="AJ494" s="72"/>
    </row>
    <row r="495" spans="1:36" s="69" customFormat="1" x14ac:dyDescent="0.25">
      <c r="A495" s="75"/>
      <c r="B495" s="75"/>
      <c r="C495" s="76"/>
      <c r="D495" s="76"/>
      <c r="E495" s="75"/>
      <c r="F495" s="75"/>
      <c r="G495" s="75"/>
      <c r="H495" s="75"/>
      <c r="I495" s="75"/>
      <c r="J495" s="75"/>
      <c r="K495" s="75"/>
      <c r="L495" s="75"/>
      <c r="M495" s="75"/>
      <c r="N495" s="75"/>
      <c r="O495" s="75"/>
      <c r="P495" s="75"/>
      <c r="Q495" s="75"/>
      <c r="R495" s="75"/>
      <c r="S495" s="75"/>
      <c r="T495" s="75"/>
      <c r="U495" s="75"/>
      <c r="V495" s="77"/>
      <c r="W495" s="75"/>
      <c r="X495" s="75"/>
      <c r="Y495" s="75"/>
      <c r="Z495" s="78"/>
      <c r="AA495" s="78"/>
      <c r="AB495" s="75"/>
      <c r="AJ495" s="72"/>
    </row>
    <row r="496" spans="1:36" s="69" customFormat="1" x14ac:dyDescent="0.25">
      <c r="A496" s="75"/>
      <c r="B496" s="75"/>
      <c r="C496" s="76"/>
      <c r="D496" s="76"/>
      <c r="E496" s="75"/>
      <c r="F496" s="75"/>
      <c r="G496" s="75"/>
      <c r="H496" s="75"/>
      <c r="I496" s="75"/>
      <c r="J496" s="75"/>
      <c r="K496" s="75"/>
      <c r="L496" s="75"/>
      <c r="M496" s="75"/>
      <c r="N496" s="75"/>
      <c r="O496" s="75"/>
      <c r="P496" s="75"/>
      <c r="Q496" s="75"/>
      <c r="R496" s="75"/>
      <c r="S496" s="75"/>
      <c r="T496" s="75"/>
      <c r="U496" s="75"/>
      <c r="V496" s="77"/>
      <c r="W496" s="75"/>
      <c r="X496" s="75"/>
      <c r="Y496" s="75"/>
      <c r="Z496" s="78"/>
      <c r="AA496" s="78"/>
      <c r="AB496" s="75"/>
      <c r="AJ496" s="72"/>
    </row>
    <row r="497" spans="1:36" s="69" customFormat="1" x14ac:dyDescent="0.25">
      <c r="A497" s="75"/>
      <c r="B497" s="75"/>
      <c r="C497" s="76"/>
      <c r="D497" s="76"/>
      <c r="E497" s="75"/>
      <c r="F497" s="75"/>
      <c r="G497" s="75"/>
      <c r="H497" s="75"/>
      <c r="I497" s="75"/>
      <c r="J497" s="75"/>
      <c r="K497" s="75"/>
      <c r="L497" s="75"/>
      <c r="M497" s="75"/>
      <c r="N497" s="75"/>
      <c r="O497" s="75"/>
      <c r="P497" s="75"/>
      <c r="Q497" s="75"/>
      <c r="R497" s="75"/>
      <c r="S497" s="75"/>
      <c r="T497" s="75"/>
      <c r="U497" s="75"/>
      <c r="V497" s="77"/>
      <c r="W497" s="75"/>
      <c r="X497" s="75"/>
      <c r="Y497" s="75"/>
      <c r="Z497" s="78"/>
      <c r="AA497" s="78"/>
      <c r="AB497" s="75"/>
      <c r="AJ497" s="72"/>
    </row>
    <row r="498" spans="1:36" s="69" customFormat="1" x14ac:dyDescent="0.25">
      <c r="A498" s="75"/>
      <c r="B498" s="75"/>
      <c r="C498" s="76"/>
      <c r="D498" s="76"/>
      <c r="E498" s="75"/>
      <c r="F498" s="75"/>
      <c r="G498" s="75"/>
      <c r="H498" s="75"/>
      <c r="I498" s="75"/>
      <c r="J498" s="75"/>
      <c r="K498" s="75"/>
      <c r="L498" s="75"/>
      <c r="M498" s="75"/>
      <c r="N498" s="75"/>
      <c r="O498" s="75"/>
      <c r="P498" s="75"/>
      <c r="Q498" s="75"/>
      <c r="R498" s="75"/>
      <c r="S498" s="75"/>
      <c r="T498" s="75"/>
      <c r="U498" s="75"/>
      <c r="V498" s="77"/>
      <c r="W498" s="75"/>
      <c r="X498" s="75"/>
      <c r="Y498" s="75"/>
      <c r="Z498" s="78"/>
      <c r="AA498" s="78"/>
      <c r="AB498" s="75"/>
      <c r="AJ498" s="72"/>
    </row>
    <row r="499" spans="1:36" s="69" customFormat="1" x14ac:dyDescent="0.25">
      <c r="A499" s="75"/>
      <c r="B499" s="75"/>
      <c r="C499" s="76"/>
      <c r="D499" s="76"/>
      <c r="E499" s="75"/>
      <c r="F499" s="75"/>
      <c r="G499" s="75"/>
      <c r="H499" s="75"/>
      <c r="I499" s="75"/>
      <c r="J499" s="75"/>
      <c r="K499" s="75"/>
      <c r="L499" s="75"/>
      <c r="M499" s="75"/>
      <c r="N499" s="75"/>
      <c r="O499" s="75"/>
      <c r="P499" s="75"/>
      <c r="Q499" s="75"/>
      <c r="R499" s="75"/>
      <c r="S499" s="75"/>
      <c r="T499" s="75"/>
      <c r="U499" s="75"/>
      <c r="V499" s="77"/>
      <c r="W499" s="75"/>
      <c r="X499" s="75"/>
      <c r="Y499" s="75"/>
      <c r="Z499" s="78"/>
      <c r="AA499" s="78"/>
      <c r="AB499" s="75"/>
      <c r="AJ499" s="72"/>
    </row>
    <row r="500" spans="1:36" s="69" customFormat="1" x14ac:dyDescent="0.25">
      <c r="A500" s="75"/>
      <c r="B500" s="75"/>
      <c r="C500" s="76"/>
      <c r="D500" s="76"/>
      <c r="E500" s="75"/>
      <c r="F500" s="75"/>
      <c r="G500" s="75"/>
      <c r="H500" s="75"/>
      <c r="I500" s="75"/>
      <c r="J500" s="75"/>
      <c r="K500" s="75"/>
      <c r="L500" s="75"/>
      <c r="M500" s="75"/>
      <c r="N500" s="75"/>
      <c r="O500" s="75"/>
      <c r="P500" s="75"/>
      <c r="Q500" s="75"/>
      <c r="R500" s="75"/>
      <c r="S500" s="75"/>
      <c r="T500" s="75"/>
      <c r="U500" s="75"/>
      <c r="V500" s="77"/>
      <c r="W500" s="75"/>
      <c r="X500" s="75"/>
      <c r="Y500" s="75"/>
      <c r="Z500" s="78"/>
      <c r="AA500" s="78"/>
      <c r="AB500" s="75"/>
      <c r="AJ500" s="72"/>
    </row>
    <row r="501" spans="1:36" s="69" customFormat="1" x14ac:dyDescent="0.25">
      <c r="A501" s="75"/>
      <c r="B501" s="75"/>
      <c r="C501" s="76"/>
      <c r="D501" s="76"/>
      <c r="E501" s="75"/>
      <c r="F501" s="75"/>
      <c r="G501" s="75"/>
      <c r="H501" s="75"/>
      <c r="I501" s="75"/>
      <c r="J501" s="75"/>
      <c r="K501" s="75"/>
      <c r="L501" s="75"/>
      <c r="M501" s="75"/>
      <c r="N501" s="75"/>
      <c r="O501" s="75"/>
      <c r="P501" s="75"/>
      <c r="Q501" s="75"/>
      <c r="R501" s="75"/>
      <c r="S501" s="75"/>
      <c r="T501" s="75"/>
      <c r="U501" s="75"/>
      <c r="V501" s="77"/>
      <c r="W501" s="75"/>
      <c r="X501" s="75"/>
      <c r="Y501" s="75"/>
      <c r="Z501" s="78"/>
      <c r="AA501" s="78"/>
      <c r="AB501" s="75"/>
      <c r="AJ501" s="72"/>
    </row>
    <row r="502" spans="1:36" s="69" customFormat="1" x14ac:dyDescent="0.25">
      <c r="A502" s="75"/>
      <c r="B502" s="75"/>
      <c r="C502" s="76"/>
      <c r="D502" s="76"/>
      <c r="E502" s="75"/>
      <c r="F502" s="75"/>
      <c r="G502" s="75"/>
      <c r="H502" s="75"/>
      <c r="I502" s="75"/>
      <c r="J502" s="75"/>
      <c r="K502" s="75"/>
      <c r="L502" s="75"/>
      <c r="M502" s="75"/>
      <c r="N502" s="75"/>
      <c r="O502" s="75"/>
      <c r="P502" s="75"/>
      <c r="Q502" s="75"/>
      <c r="R502" s="75"/>
      <c r="S502" s="75"/>
      <c r="T502" s="75"/>
      <c r="U502" s="75"/>
      <c r="V502" s="77"/>
      <c r="W502" s="75"/>
      <c r="X502" s="75"/>
      <c r="Y502" s="75"/>
      <c r="Z502" s="78"/>
      <c r="AA502" s="78"/>
      <c r="AB502" s="75"/>
      <c r="AJ502" s="72"/>
    </row>
    <row r="503" spans="1:36" s="69" customFormat="1" x14ac:dyDescent="0.25">
      <c r="A503" s="75"/>
      <c r="B503" s="75"/>
      <c r="C503" s="76"/>
      <c r="D503" s="76"/>
      <c r="E503" s="75"/>
      <c r="F503" s="75"/>
      <c r="G503" s="75"/>
      <c r="H503" s="75"/>
      <c r="I503" s="75"/>
      <c r="J503" s="75"/>
      <c r="K503" s="75"/>
      <c r="L503" s="75"/>
      <c r="M503" s="75"/>
      <c r="N503" s="75"/>
      <c r="O503" s="75"/>
      <c r="P503" s="75"/>
      <c r="Q503" s="75"/>
      <c r="R503" s="75"/>
      <c r="S503" s="75"/>
      <c r="T503" s="75"/>
      <c r="U503" s="75"/>
      <c r="V503" s="77"/>
      <c r="W503" s="75"/>
      <c r="X503" s="75"/>
      <c r="Y503" s="75"/>
      <c r="Z503" s="78"/>
      <c r="AA503" s="78"/>
      <c r="AB503" s="75"/>
      <c r="AJ503" s="72"/>
    </row>
    <row r="504" spans="1:36" s="69" customFormat="1" x14ac:dyDescent="0.25">
      <c r="A504" s="75"/>
      <c r="B504" s="75"/>
      <c r="C504" s="76"/>
      <c r="D504" s="76"/>
      <c r="E504" s="75"/>
      <c r="F504" s="75"/>
      <c r="G504" s="75"/>
      <c r="H504" s="75"/>
      <c r="I504" s="75"/>
      <c r="J504" s="75"/>
      <c r="K504" s="75"/>
      <c r="L504" s="75"/>
      <c r="M504" s="75"/>
      <c r="N504" s="75"/>
      <c r="O504" s="75"/>
      <c r="P504" s="75"/>
      <c r="Q504" s="75"/>
      <c r="R504" s="75"/>
      <c r="S504" s="75"/>
      <c r="T504" s="75"/>
      <c r="U504" s="75"/>
      <c r="V504" s="77"/>
      <c r="W504" s="75"/>
      <c r="X504" s="75"/>
      <c r="Y504" s="75"/>
      <c r="Z504" s="78"/>
      <c r="AA504" s="78"/>
      <c r="AB504" s="75"/>
      <c r="AJ504" s="72"/>
    </row>
    <row r="505" spans="1:36" s="69" customFormat="1" x14ac:dyDescent="0.25">
      <c r="A505" s="75"/>
      <c r="B505" s="75"/>
      <c r="C505" s="76"/>
      <c r="D505" s="76"/>
      <c r="E505" s="75"/>
      <c r="F505" s="75"/>
      <c r="G505" s="75"/>
      <c r="H505" s="75"/>
      <c r="I505" s="75"/>
      <c r="J505" s="75"/>
      <c r="K505" s="75"/>
      <c r="L505" s="75"/>
      <c r="M505" s="75"/>
      <c r="N505" s="75"/>
      <c r="O505" s="75"/>
      <c r="P505" s="75"/>
      <c r="Q505" s="75"/>
      <c r="R505" s="75"/>
      <c r="S505" s="75"/>
      <c r="T505" s="75"/>
      <c r="U505" s="75"/>
      <c r="V505" s="77"/>
      <c r="W505" s="75"/>
      <c r="X505" s="75"/>
      <c r="Y505" s="75"/>
      <c r="Z505" s="78"/>
      <c r="AA505" s="78"/>
      <c r="AB505" s="75"/>
      <c r="AJ505" s="72"/>
    </row>
    <row r="506" spans="1:36" s="69" customFormat="1" x14ac:dyDescent="0.25">
      <c r="A506" s="75"/>
      <c r="B506" s="75"/>
      <c r="C506" s="76"/>
      <c r="D506" s="76"/>
      <c r="E506" s="75"/>
      <c r="F506" s="75"/>
      <c r="G506" s="75"/>
      <c r="H506" s="75"/>
      <c r="I506" s="75"/>
      <c r="J506" s="75"/>
      <c r="K506" s="75"/>
      <c r="L506" s="75"/>
      <c r="M506" s="75"/>
      <c r="N506" s="75"/>
      <c r="O506" s="75"/>
      <c r="P506" s="75"/>
      <c r="Q506" s="75"/>
      <c r="R506" s="75"/>
      <c r="S506" s="75"/>
      <c r="T506" s="75"/>
      <c r="U506" s="75"/>
      <c r="V506" s="77"/>
      <c r="W506" s="75"/>
      <c r="X506" s="75"/>
      <c r="Y506" s="75"/>
      <c r="Z506" s="78"/>
      <c r="AA506" s="78"/>
      <c r="AB506" s="75"/>
      <c r="AJ506" s="72"/>
    </row>
    <row r="507" spans="1:36" s="69" customFormat="1" x14ac:dyDescent="0.25">
      <c r="A507" s="75"/>
      <c r="B507" s="75"/>
      <c r="C507" s="76"/>
      <c r="D507" s="76"/>
      <c r="E507" s="75"/>
      <c r="F507" s="75"/>
      <c r="G507" s="75"/>
      <c r="H507" s="75"/>
      <c r="I507" s="75"/>
      <c r="J507" s="75"/>
      <c r="K507" s="75"/>
      <c r="L507" s="75"/>
      <c r="M507" s="75"/>
      <c r="N507" s="75"/>
      <c r="O507" s="75"/>
      <c r="P507" s="75"/>
      <c r="Q507" s="75"/>
      <c r="R507" s="75"/>
      <c r="S507" s="75"/>
      <c r="T507" s="75"/>
      <c r="U507" s="75"/>
      <c r="V507" s="77"/>
      <c r="W507" s="75"/>
      <c r="X507" s="75"/>
      <c r="Y507" s="75"/>
      <c r="Z507" s="78"/>
      <c r="AA507" s="78"/>
      <c r="AB507" s="75"/>
      <c r="AJ507" s="72"/>
    </row>
    <row r="508" spans="1:36" s="69" customFormat="1" x14ac:dyDescent="0.25">
      <c r="A508" s="75"/>
      <c r="B508" s="75"/>
      <c r="C508" s="76"/>
      <c r="D508" s="76"/>
      <c r="E508" s="75"/>
      <c r="F508" s="75"/>
      <c r="G508" s="75"/>
      <c r="H508" s="75"/>
      <c r="I508" s="75"/>
      <c r="J508" s="75"/>
      <c r="K508" s="75"/>
      <c r="L508" s="75"/>
      <c r="M508" s="75"/>
      <c r="N508" s="75"/>
      <c r="O508" s="75"/>
      <c r="P508" s="75"/>
      <c r="Q508" s="75"/>
      <c r="R508" s="75"/>
      <c r="S508" s="75"/>
      <c r="T508" s="75"/>
      <c r="U508" s="75"/>
      <c r="V508" s="77"/>
      <c r="W508" s="75"/>
      <c r="X508" s="75"/>
      <c r="Y508" s="75"/>
      <c r="Z508" s="78"/>
      <c r="AA508" s="78"/>
      <c r="AB508" s="75"/>
      <c r="AJ508" s="72"/>
    </row>
    <row r="509" spans="1:36" s="69" customFormat="1" x14ac:dyDescent="0.25">
      <c r="A509" s="75"/>
      <c r="B509" s="75"/>
      <c r="C509" s="76"/>
      <c r="D509" s="76"/>
      <c r="E509" s="75"/>
      <c r="F509" s="75"/>
      <c r="G509" s="75"/>
      <c r="H509" s="75"/>
      <c r="I509" s="75"/>
      <c r="J509" s="75"/>
      <c r="K509" s="75"/>
      <c r="L509" s="75"/>
      <c r="M509" s="75"/>
      <c r="N509" s="75"/>
      <c r="O509" s="75"/>
      <c r="P509" s="75"/>
      <c r="Q509" s="75"/>
      <c r="R509" s="75"/>
      <c r="S509" s="75"/>
      <c r="T509" s="75"/>
      <c r="U509" s="75"/>
      <c r="V509" s="77"/>
      <c r="W509" s="75"/>
      <c r="X509" s="75"/>
      <c r="Y509" s="75"/>
      <c r="Z509" s="78"/>
      <c r="AA509" s="78"/>
      <c r="AB509" s="75"/>
      <c r="AJ509" s="72"/>
    </row>
    <row r="510" spans="1:36" s="69" customFormat="1" x14ac:dyDescent="0.25">
      <c r="A510" s="75"/>
      <c r="B510" s="75"/>
      <c r="C510" s="76"/>
      <c r="D510" s="76"/>
      <c r="E510" s="75"/>
      <c r="F510" s="75"/>
      <c r="G510" s="75"/>
      <c r="H510" s="75"/>
      <c r="I510" s="75"/>
      <c r="J510" s="75"/>
      <c r="K510" s="75"/>
      <c r="L510" s="75"/>
      <c r="M510" s="75"/>
      <c r="N510" s="75"/>
      <c r="O510" s="75"/>
      <c r="P510" s="75"/>
      <c r="Q510" s="75"/>
      <c r="R510" s="75"/>
      <c r="S510" s="75"/>
      <c r="T510" s="75"/>
      <c r="U510" s="75"/>
      <c r="V510" s="77"/>
      <c r="W510" s="75"/>
      <c r="X510" s="75"/>
      <c r="Y510" s="75"/>
      <c r="Z510" s="78"/>
      <c r="AA510" s="78"/>
      <c r="AB510" s="75"/>
      <c r="AJ510" s="72"/>
    </row>
    <row r="511" spans="1:36" s="69" customFormat="1" x14ac:dyDescent="0.25">
      <c r="A511" s="75"/>
      <c r="B511" s="75"/>
      <c r="C511" s="76"/>
      <c r="D511" s="76"/>
      <c r="E511" s="75"/>
      <c r="F511" s="75"/>
      <c r="G511" s="75"/>
      <c r="H511" s="75"/>
      <c r="I511" s="75"/>
      <c r="J511" s="75"/>
      <c r="K511" s="75"/>
      <c r="L511" s="75"/>
      <c r="M511" s="75"/>
      <c r="N511" s="75"/>
      <c r="O511" s="75"/>
      <c r="P511" s="75"/>
      <c r="Q511" s="75"/>
      <c r="R511" s="75"/>
      <c r="S511" s="75"/>
      <c r="T511" s="75"/>
      <c r="U511" s="75"/>
      <c r="V511" s="77"/>
      <c r="W511" s="75"/>
      <c r="X511" s="75"/>
      <c r="Y511" s="75"/>
      <c r="Z511" s="78"/>
      <c r="AA511" s="78"/>
      <c r="AB511" s="75"/>
      <c r="AJ511" s="72"/>
    </row>
    <row r="512" spans="1:36" s="69" customFormat="1" x14ac:dyDescent="0.25">
      <c r="A512" s="75"/>
      <c r="B512" s="75"/>
      <c r="C512" s="76"/>
      <c r="D512" s="76"/>
      <c r="E512" s="75"/>
      <c r="F512" s="75"/>
      <c r="G512" s="75"/>
      <c r="H512" s="75"/>
      <c r="I512" s="75"/>
      <c r="J512" s="75"/>
      <c r="K512" s="75"/>
      <c r="L512" s="75"/>
      <c r="M512" s="75"/>
      <c r="N512" s="75"/>
      <c r="O512" s="75"/>
      <c r="P512" s="75"/>
      <c r="Q512" s="75"/>
      <c r="R512" s="75"/>
      <c r="S512" s="75"/>
      <c r="T512" s="75"/>
      <c r="U512" s="75"/>
      <c r="V512" s="77"/>
      <c r="W512" s="75"/>
      <c r="X512" s="75"/>
      <c r="Y512" s="75"/>
      <c r="Z512" s="78"/>
      <c r="AA512" s="78"/>
      <c r="AB512" s="75"/>
      <c r="AJ512" s="72"/>
    </row>
    <row r="513" spans="1:36" s="69" customFormat="1" x14ac:dyDescent="0.25">
      <c r="A513" s="75"/>
      <c r="B513" s="75"/>
      <c r="C513" s="76"/>
      <c r="D513" s="76"/>
      <c r="E513" s="75"/>
      <c r="F513" s="75"/>
      <c r="G513" s="75"/>
      <c r="H513" s="75"/>
      <c r="I513" s="75"/>
      <c r="J513" s="75"/>
      <c r="K513" s="75"/>
      <c r="L513" s="75"/>
      <c r="M513" s="75"/>
      <c r="N513" s="75"/>
      <c r="O513" s="75"/>
      <c r="P513" s="75"/>
      <c r="Q513" s="75"/>
      <c r="R513" s="75"/>
      <c r="S513" s="75"/>
      <c r="T513" s="75"/>
      <c r="U513" s="75"/>
      <c r="V513" s="77"/>
      <c r="W513" s="75"/>
      <c r="X513" s="75"/>
      <c r="Y513" s="75"/>
      <c r="Z513" s="78"/>
      <c r="AA513" s="78"/>
      <c r="AB513" s="75"/>
      <c r="AJ513" s="72"/>
    </row>
    <row r="514" spans="1:36" s="69" customFormat="1" x14ac:dyDescent="0.25">
      <c r="A514" s="75"/>
      <c r="B514" s="75"/>
      <c r="C514" s="76"/>
      <c r="D514" s="76"/>
      <c r="E514" s="75"/>
      <c r="F514" s="75"/>
      <c r="G514" s="75"/>
      <c r="H514" s="75"/>
      <c r="I514" s="75"/>
      <c r="J514" s="75"/>
      <c r="K514" s="75"/>
      <c r="L514" s="75"/>
      <c r="M514" s="75"/>
      <c r="N514" s="75"/>
      <c r="O514" s="75"/>
      <c r="P514" s="75"/>
      <c r="Q514" s="75"/>
      <c r="R514" s="75"/>
      <c r="S514" s="75"/>
      <c r="T514" s="75"/>
      <c r="U514" s="75"/>
      <c r="V514" s="77"/>
      <c r="W514" s="75"/>
      <c r="X514" s="75"/>
      <c r="Y514" s="75"/>
      <c r="Z514" s="78"/>
      <c r="AA514" s="78"/>
      <c r="AB514" s="75"/>
      <c r="AJ514" s="72"/>
    </row>
    <row r="515" spans="1:36" s="69" customFormat="1" x14ac:dyDescent="0.25">
      <c r="A515" s="75"/>
      <c r="B515" s="75"/>
      <c r="C515" s="76"/>
      <c r="D515" s="76"/>
      <c r="E515" s="75"/>
      <c r="F515" s="75"/>
      <c r="G515" s="75"/>
      <c r="H515" s="75"/>
      <c r="I515" s="75"/>
      <c r="J515" s="75"/>
      <c r="K515" s="75"/>
      <c r="L515" s="75"/>
      <c r="M515" s="75"/>
      <c r="N515" s="75"/>
      <c r="O515" s="75"/>
      <c r="P515" s="75"/>
      <c r="Q515" s="75"/>
      <c r="R515" s="75"/>
      <c r="S515" s="75"/>
      <c r="T515" s="75"/>
      <c r="U515" s="75"/>
      <c r="V515" s="77"/>
      <c r="W515" s="75"/>
      <c r="X515" s="75"/>
      <c r="Y515" s="75"/>
      <c r="Z515" s="78"/>
      <c r="AA515" s="78"/>
      <c r="AB515" s="75"/>
      <c r="AJ515" s="72"/>
    </row>
    <row r="516" spans="1:36" s="69" customFormat="1" x14ac:dyDescent="0.25">
      <c r="A516" s="75"/>
      <c r="B516" s="75"/>
      <c r="C516" s="76"/>
      <c r="D516" s="76"/>
      <c r="E516" s="75"/>
      <c r="F516" s="75"/>
      <c r="G516" s="75"/>
      <c r="H516" s="75"/>
      <c r="I516" s="75"/>
      <c r="J516" s="75"/>
      <c r="K516" s="75"/>
      <c r="L516" s="75"/>
      <c r="M516" s="75"/>
      <c r="N516" s="75"/>
      <c r="O516" s="75"/>
      <c r="P516" s="75"/>
      <c r="Q516" s="75"/>
      <c r="R516" s="75"/>
      <c r="S516" s="75"/>
      <c r="T516" s="75"/>
      <c r="U516" s="75"/>
      <c r="V516" s="77"/>
      <c r="W516" s="75"/>
      <c r="X516" s="75"/>
      <c r="Y516" s="75"/>
      <c r="Z516" s="78"/>
      <c r="AA516" s="78"/>
      <c r="AB516" s="75"/>
      <c r="AJ516" s="72"/>
    </row>
    <row r="517" spans="1:36" s="69" customFormat="1" x14ac:dyDescent="0.25">
      <c r="A517" s="75"/>
      <c r="B517" s="75"/>
      <c r="C517" s="76"/>
      <c r="D517" s="76"/>
      <c r="E517" s="75"/>
      <c r="F517" s="75"/>
      <c r="G517" s="75"/>
      <c r="H517" s="75"/>
      <c r="I517" s="75"/>
      <c r="J517" s="75"/>
      <c r="K517" s="75"/>
      <c r="L517" s="75"/>
      <c r="M517" s="75"/>
      <c r="N517" s="75"/>
      <c r="O517" s="75"/>
      <c r="P517" s="75"/>
      <c r="Q517" s="75"/>
      <c r="R517" s="75"/>
      <c r="S517" s="75"/>
      <c r="T517" s="75"/>
      <c r="U517" s="75"/>
      <c r="V517" s="77"/>
      <c r="W517" s="75"/>
      <c r="X517" s="75"/>
      <c r="Y517" s="75"/>
      <c r="Z517" s="78"/>
      <c r="AA517" s="78"/>
      <c r="AB517" s="75"/>
      <c r="AJ517" s="72"/>
    </row>
    <row r="518" spans="1:36" s="69" customFormat="1" x14ac:dyDescent="0.25">
      <c r="A518" s="75"/>
      <c r="B518" s="75"/>
      <c r="C518" s="76"/>
      <c r="D518" s="76"/>
      <c r="E518" s="75"/>
      <c r="F518" s="75"/>
      <c r="G518" s="75"/>
      <c r="H518" s="75"/>
      <c r="I518" s="75"/>
      <c r="J518" s="75"/>
      <c r="K518" s="75"/>
      <c r="L518" s="75"/>
      <c r="M518" s="75"/>
      <c r="N518" s="75"/>
      <c r="O518" s="75"/>
      <c r="P518" s="75"/>
      <c r="Q518" s="75"/>
      <c r="R518" s="75"/>
      <c r="S518" s="75"/>
      <c r="T518" s="75"/>
      <c r="U518" s="75"/>
      <c r="V518" s="77"/>
      <c r="W518" s="75"/>
      <c r="X518" s="75"/>
      <c r="Y518" s="75"/>
      <c r="Z518" s="78"/>
      <c r="AA518" s="78"/>
      <c r="AB518" s="75"/>
      <c r="AJ518" s="72"/>
    </row>
    <row r="519" spans="1:36" s="69" customFormat="1" x14ac:dyDescent="0.25">
      <c r="A519" s="75"/>
      <c r="B519" s="75"/>
      <c r="C519" s="76"/>
      <c r="D519" s="76"/>
      <c r="E519" s="75"/>
      <c r="F519" s="75"/>
      <c r="G519" s="75"/>
      <c r="H519" s="75"/>
      <c r="I519" s="75"/>
      <c r="J519" s="75"/>
      <c r="K519" s="75"/>
      <c r="L519" s="75"/>
      <c r="M519" s="75"/>
      <c r="N519" s="75"/>
      <c r="O519" s="75"/>
      <c r="P519" s="75"/>
      <c r="Q519" s="75"/>
      <c r="R519" s="75"/>
      <c r="S519" s="75"/>
      <c r="T519" s="75"/>
      <c r="U519" s="75"/>
      <c r="V519" s="77"/>
      <c r="W519" s="75"/>
      <c r="X519" s="75"/>
      <c r="Y519" s="75"/>
      <c r="Z519" s="78"/>
      <c r="AA519" s="78"/>
      <c r="AB519" s="75"/>
      <c r="AJ519" s="72"/>
    </row>
    <row r="520" spans="1:36" s="69" customFormat="1" x14ac:dyDescent="0.25">
      <c r="A520" s="75"/>
      <c r="B520" s="75"/>
      <c r="C520" s="76"/>
      <c r="D520" s="76"/>
      <c r="E520" s="75"/>
      <c r="F520" s="75"/>
      <c r="G520" s="75"/>
      <c r="H520" s="75"/>
      <c r="I520" s="75"/>
      <c r="J520" s="75"/>
      <c r="K520" s="75"/>
      <c r="L520" s="75"/>
      <c r="M520" s="75"/>
      <c r="N520" s="75"/>
      <c r="O520" s="75"/>
      <c r="P520" s="75"/>
      <c r="Q520" s="75"/>
      <c r="R520" s="75"/>
      <c r="S520" s="75"/>
      <c r="T520" s="75"/>
      <c r="U520" s="75"/>
      <c r="V520" s="77"/>
      <c r="W520" s="75"/>
      <c r="X520" s="75"/>
      <c r="Y520" s="75"/>
      <c r="Z520" s="78"/>
      <c r="AA520" s="78"/>
      <c r="AB520" s="75"/>
      <c r="AJ520" s="72"/>
    </row>
    <row r="521" spans="1:36" s="69" customFormat="1" x14ac:dyDescent="0.25">
      <c r="A521" s="75"/>
      <c r="B521" s="75"/>
      <c r="C521" s="76"/>
      <c r="D521" s="76"/>
      <c r="E521" s="75"/>
      <c r="F521" s="75"/>
      <c r="G521" s="75"/>
      <c r="H521" s="75"/>
      <c r="I521" s="75"/>
      <c r="J521" s="75"/>
      <c r="K521" s="75"/>
      <c r="L521" s="75"/>
      <c r="M521" s="75"/>
      <c r="N521" s="75"/>
      <c r="O521" s="75"/>
      <c r="P521" s="75"/>
      <c r="Q521" s="75"/>
      <c r="R521" s="75"/>
      <c r="S521" s="75"/>
      <c r="T521" s="75"/>
      <c r="U521" s="75"/>
      <c r="V521" s="77"/>
      <c r="W521" s="75"/>
      <c r="X521" s="75"/>
      <c r="Y521" s="75"/>
      <c r="Z521" s="78"/>
      <c r="AA521" s="78"/>
      <c r="AB521" s="75"/>
      <c r="AJ521" s="72"/>
    </row>
    <row r="522" spans="1:36" s="69" customFormat="1" x14ac:dyDescent="0.25">
      <c r="A522" s="75"/>
      <c r="B522" s="75"/>
      <c r="C522" s="76"/>
      <c r="D522" s="76"/>
      <c r="E522" s="75"/>
      <c r="F522" s="75"/>
      <c r="G522" s="75"/>
      <c r="H522" s="75"/>
      <c r="I522" s="75"/>
      <c r="J522" s="75"/>
      <c r="K522" s="75"/>
      <c r="L522" s="75"/>
      <c r="M522" s="75"/>
      <c r="N522" s="75"/>
      <c r="O522" s="75"/>
      <c r="P522" s="75"/>
      <c r="Q522" s="75"/>
      <c r="R522" s="75"/>
      <c r="S522" s="75"/>
      <c r="T522" s="75"/>
      <c r="U522" s="75"/>
      <c r="V522" s="77"/>
      <c r="W522" s="75"/>
      <c r="X522" s="75"/>
      <c r="Y522" s="75"/>
      <c r="Z522" s="78"/>
      <c r="AA522" s="78"/>
      <c r="AB522" s="75"/>
      <c r="AJ522" s="72"/>
    </row>
    <row r="523" spans="1:36" s="69" customFormat="1" x14ac:dyDescent="0.25">
      <c r="A523" s="75"/>
      <c r="B523" s="75"/>
      <c r="C523" s="76"/>
      <c r="D523" s="76"/>
      <c r="E523" s="75"/>
      <c r="F523" s="75"/>
      <c r="G523" s="75"/>
      <c r="H523" s="75"/>
      <c r="I523" s="75"/>
      <c r="J523" s="75"/>
      <c r="K523" s="75"/>
      <c r="L523" s="75"/>
      <c r="M523" s="75"/>
      <c r="N523" s="75"/>
      <c r="O523" s="75"/>
      <c r="P523" s="75"/>
      <c r="Q523" s="75"/>
      <c r="R523" s="75"/>
      <c r="S523" s="75"/>
      <c r="T523" s="75"/>
      <c r="U523" s="75"/>
      <c r="V523" s="77"/>
      <c r="W523" s="75"/>
      <c r="X523" s="75"/>
      <c r="Y523" s="75"/>
      <c r="Z523" s="78"/>
      <c r="AA523" s="78"/>
      <c r="AB523" s="75"/>
      <c r="AJ523" s="72"/>
    </row>
    <row r="524" spans="1:36" s="69" customFormat="1" x14ac:dyDescent="0.25">
      <c r="A524" s="75"/>
      <c r="B524" s="75"/>
      <c r="C524" s="76"/>
      <c r="D524" s="76"/>
      <c r="E524" s="75"/>
      <c r="F524" s="75"/>
      <c r="G524" s="75"/>
      <c r="H524" s="75"/>
      <c r="I524" s="75"/>
      <c r="J524" s="75"/>
      <c r="K524" s="75"/>
      <c r="L524" s="75"/>
      <c r="M524" s="75"/>
      <c r="N524" s="75"/>
      <c r="O524" s="75"/>
      <c r="P524" s="75"/>
      <c r="Q524" s="75"/>
      <c r="R524" s="75"/>
      <c r="S524" s="75"/>
      <c r="T524" s="75"/>
      <c r="U524" s="75"/>
      <c r="V524" s="77"/>
      <c r="W524" s="75"/>
      <c r="X524" s="75"/>
      <c r="Y524" s="75"/>
      <c r="Z524" s="78"/>
      <c r="AA524" s="78"/>
      <c r="AB524" s="75"/>
      <c r="AJ524" s="72"/>
    </row>
    <row r="525" spans="1:36" s="69" customFormat="1" x14ac:dyDescent="0.25">
      <c r="A525" s="75"/>
      <c r="B525" s="75"/>
      <c r="C525" s="76"/>
      <c r="D525" s="76"/>
      <c r="E525" s="75"/>
      <c r="F525" s="75"/>
      <c r="G525" s="75"/>
      <c r="H525" s="75"/>
      <c r="I525" s="75"/>
      <c r="J525" s="75"/>
      <c r="K525" s="75"/>
      <c r="L525" s="75"/>
      <c r="M525" s="75"/>
      <c r="N525" s="75"/>
      <c r="O525" s="75"/>
      <c r="P525" s="75"/>
      <c r="Q525" s="75"/>
      <c r="R525" s="75"/>
      <c r="S525" s="75"/>
      <c r="T525" s="75"/>
      <c r="U525" s="75"/>
      <c r="V525" s="77"/>
      <c r="W525" s="75"/>
      <c r="X525" s="75"/>
      <c r="Y525" s="75"/>
      <c r="Z525" s="78"/>
      <c r="AA525" s="78"/>
      <c r="AB525" s="75"/>
      <c r="AJ525" s="72"/>
    </row>
    <row r="526" spans="1:36" s="69" customFormat="1" x14ac:dyDescent="0.25">
      <c r="A526" s="75"/>
      <c r="B526" s="75"/>
      <c r="C526" s="76"/>
      <c r="D526" s="76"/>
      <c r="E526" s="75"/>
      <c r="F526" s="75"/>
      <c r="G526" s="75"/>
      <c r="H526" s="75"/>
      <c r="I526" s="75"/>
      <c r="J526" s="75"/>
      <c r="K526" s="75"/>
      <c r="L526" s="75"/>
      <c r="M526" s="75"/>
      <c r="N526" s="75"/>
      <c r="O526" s="75"/>
      <c r="P526" s="75"/>
      <c r="Q526" s="75"/>
      <c r="R526" s="75"/>
      <c r="S526" s="75"/>
      <c r="T526" s="75"/>
      <c r="U526" s="75"/>
      <c r="V526" s="77"/>
      <c r="W526" s="75"/>
      <c r="X526" s="75"/>
      <c r="Y526" s="75"/>
      <c r="Z526" s="78"/>
      <c r="AA526" s="78"/>
      <c r="AB526" s="75"/>
      <c r="AJ526" s="72"/>
    </row>
    <row r="527" spans="1:36" s="69" customFormat="1" x14ac:dyDescent="0.25">
      <c r="A527" s="75"/>
      <c r="B527" s="75"/>
      <c r="C527" s="76"/>
      <c r="D527" s="76"/>
      <c r="E527" s="75"/>
      <c r="F527" s="75"/>
      <c r="G527" s="75"/>
      <c r="H527" s="75"/>
      <c r="I527" s="75"/>
      <c r="J527" s="75"/>
      <c r="K527" s="75"/>
      <c r="L527" s="75"/>
      <c r="M527" s="75"/>
      <c r="N527" s="75"/>
      <c r="O527" s="75"/>
      <c r="P527" s="75"/>
      <c r="Q527" s="75"/>
      <c r="R527" s="75"/>
      <c r="S527" s="75"/>
      <c r="T527" s="75"/>
      <c r="U527" s="75"/>
      <c r="V527" s="77"/>
      <c r="W527" s="75"/>
      <c r="X527" s="75"/>
      <c r="Y527" s="75"/>
      <c r="Z527" s="78"/>
      <c r="AA527" s="78"/>
      <c r="AB527" s="75"/>
      <c r="AJ527" s="72"/>
    </row>
    <row r="528" spans="1:36" s="69" customFormat="1" x14ac:dyDescent="0.25">
      <c r="A528" s="75"/>
      <c r="B528" s="75"/>
      <c r="C528" s="76"/>
      <c r="D528" s="76"/>
      <c r="E528" s="75"/>
      <c r="F528" s="75"/>
      <c r="G528" s="75"/>
      <c r="H528" s="75"/>
      <c r="I528" s="75"/>
      <c r="J528" s="75"/>
      <c r="K528" s="75"/>
      <c r="L528" s="75"/>
      <c r="M528" s="75"/>
      <c r="N528" s="75"/>
      <c r="O528" s="75"/>
      <c r="P528" s="75"/>
      <c r="Q528" s="75"/>
      <c r="R528" s="75"/>
      <c r="S528" s="75"/>
      <c r="T528" s="75"/>
      <c r="U528" s="75"/>
      <c r="V528" s="77"/>
      <c r="W528" s="75"/>
      <c r="X528" s="75"/>
      <c r="Y528" s="75"/>
      <c r="Z528" s="78"/>
      <c r="AA528" s="78"/>
      <c r="AB528" s="75"/>
      <c r="AJ528" s="72"/>
    </row>
    <row r="529" spans="1:36" s="69" customFormat="1" x14ac:dyDescent="0.25">
      <c r="A529" s="75"/>
      <c r="B529" s="75"/>
      <c r="C529" s="76"/>
      <c r="D529" s="76"/>
      <c r="E529" s="75"/>
      <c r="F529" s="75"/>
      <c r="G529" s="75"/>
      <c r="H529" s="75"/>
      <c r="I529" s="75"/>
      <c r="J529" s="75"/>
      <c r="K529" s="75"/>
      <c r="L529" s="75"/>
      <c r="M529" s="75"/>
      <c r="N529" s="75"/>
      <c r="O529" s="75"/>
      <c r="P529" s="75"/>
      <c r="Q529" s="75"/>
      <c r="R529" s="75"/>
      <c r="S529" s="75"/>
      <c r="T529" s="75"/>
      <c r="U529" s="75"/>
      <c r="V529" s="77"/>
      <c r="W529" s="75"/>
      <c r="X529" s="75"/>
      <c r="Y529" s="75"/>
      <c r="Z529" s="78"/>
      <c r="AA529" s="78"/>
      <c r="AB529" s="75"/>
      <c r="AJ529" s="72"/>
    </row>
    <row r="530" spans="1:36" s="69" customFormat="1" x14ac:dyDescent="0.25">
      <c r="A530" s="75"/>
      <c r="B530" s="75"/>
      <c r="C530" s="76"/>
      <c r="D530" s="76"/>
      <c r="E530" s="75"/>
      <c r="F530" s="75"/>
      <c r="G530" s="75"/>
      <c r="H530" s="75"/>
      <c r="I530" s="75"/>
      <c r="J530" s="75"/>
      <c r="K530" s="75"/>
      <c r="L530" s="75"/>
      <c r="M530" s="75"/>
      <c r="N530" s="75"/>
      <c r="O530" s="75"/>
      <c r="P530" s="75"/>
      <c r="Q530" s="75"/>
      <c r="R530" s="75"/>
      <c r="S530" s="75"/>
      <c r="T530" s="75"/>
      <c r="U530" s="75"/>
      <c r="V530" s="77"/>
      <c r="W530" s="75"/>
      <c r="X530" s="75"/>
      <c r="Y530" s="75"/>
      <c r="Z530" s="78"/>
      <c r="AA530" s="78"/>
      <c r="AB530" s="75"/>
      <c r="AJ530" s="72"/>
    </row>
    <row r="531" spans="1:36" s="69" customFormat="1" x14ac:dyDescent="0.25">
      <c r="A531" s="75"/>
      <c r="B531" s="75"/>
      <c r="C531" s="76"/>
      <c r="D531" s="76"/>
      <c r="E531" s="75"/>
      <c r="F531" s="75"/>
      <c r="G531" s="75"/>
      <c r="H531" s="75"/>
      <c r="I531" s="75"/>
      <c r="J531" s="75"/>
      <c r="K531" s="75"/>
      <c r="L531" s="75"/>
      <c r="M531" s="75"/>
      <c r="N531" s="75"/>
      <c r="O531" s="75"/>
      <c r="P531" s="75"/>
      <c r="Q531" s="75"/>
      <c r="R531" s="75"/>
      <c r="S531" s="75"/>
      <c r="T531" s="75"/>
      <c r="U531" s="75"/>
      <c r="V531" s="77"/>
      <c r="W531" s="75"/>
      <c r="X531" s="75"/>
      <c r="Y531" s="75"/>
      <c r="Z531" s="78"/>
      <c r="AA531" s="78"/>
      <c r="AB531" s="75"/>
      <c r="AJ531" s="72"/>
    </row>
    <row r="532" spans="1:36" s="69" customFormat="1" x14ac:dyDescent="0.25">
      <c r="A532" s="75"/>
      <c r="B532" s="75"/>
      <c r="C532" s="76"/>
      <c r="D532" s="76"/>
      <c r="E532" s="75"/>
      <c r="F532" s="75"/>
      <c r="G532" s="75"/>
      <c r="H532" s="75"/>
      <c r="I532" s="75"/>
      <c r="J532" s="75"/>
      <c r="K532" s="75"/>
      <c r="L532" s="75"/>
      <c r="M532" s="75"/>
      <c r="N532" s="75"/>
      <c r="O532" s="75"/>
      <c r="P532" s="75"/>
      <c r="Q532" s="75"/>
      <c r="R532" s="75"/>
      <c r="S532" s="75"/>
      <c r="T532" s="75"/>
      <c r="U532" s="75"/>
      <c r="V532" s="77"/>
      <c r="W532" s="75"/>
      <c r="X532" s="75"/>
      <c r="Y532" s="75"/>
      <c r="Z532" s="78"/>
      <c r="AA532" s="78"/>
      <c r="AB532" s="75"/>
      <c r="AJ532" s="72"/>
    </row>
    <row r="533" spans="1:36" s="69" customFormat="1" x14ac:dyDescent="0.25">
      <c r="A533" s="75"/>
      <c r="B533" s="75"/>
      <c r="C533" s="76"/>
      <c r="D533" s="76"/>
      <c r="E533" s="75"/>
      <c r="F533" s="75"/>
      <c r="G533" s="75"/>
      <c r="H533" s="75"/>
      <c r="I533" s="75"/>
      <c r="J533" s="75"/>
      <c r="K533" s="75"/>
      <c r="L533" s="75"/>
      <c r="M533" s="75"/>
      <c r="N533" s="75"/>
      <c r="O533" s="75"/>
      <c r="P533" s="75"/>
      <c r="Q533" s="75"/>
      <c r="R533" s="75"/>
      <c r="S533" s="75"/>
      <c r="T533" s="75"/>
      <c r="U533" s="75"/>
      <c r="V533" s="77"/>
      <c r="W533" s="75"/>
      <c r="X533" s="75"/>
      <c r="Y533" s="75"/>
      <c r="Z533" s="78"/>
      <c r="AA533" s="78"/>
      <c r="AB533" s="75"/>
      <c r="AJ533" s="72"/>
    </row>
    <row r="534" spans="1:36" s="69" customFormat="1" x14ac:dyDescent="0.25">
      <c r="A534" s="75"/>
      <c r="B534" s="75"/>
      <c r="C534" s="76"/>
      <c r="D534" s="76"/>
      <c r="E534" s="75"/>
      <c r="F534" s="75"/>
      <c r="G534" s="75"/>
      <c r="H534" s="75"/>
      <c r="I534" s="75"/>
      <c r="J534" s="75"/>
      <c r="K534" s="75"/>
      <c r="L534" s="75"/>
      <c r="M534" s="75"/>
      <c r="N534" s="75"/>
      <c r="O534" s="75"/>
      <c r="P534" s="75"/>
      <c r="Q534" s="75"/>
      <c r="R534" s="75"/>
      <c r="S534" s="75"/>
      <c r="T534" s="75"/>
      <c r="U534" s="75"/>
      <c r="V534" s="77"/>
      <c r="W534" s="75"/>
      <c r="X534" s="75"/>
      <c r="Y534" s="75"/>
      <c r="Z534" s="78"/>
      <c r="AA534" s="78"/>
      <c r="AB534" s="75"/>
      <c r="AJ534" s="72"/>
    </row>
    <row r="535" spans="1:36" s="69" customFormat="1" x14ac:dyDescent="0.25">
      <c r="A535" s="75"/>
      <c r="B535" s="75"/>
      <c r="C535" s="76"/>
      <c r="D535" s="76"/>
      <c r="E535" s="75"/>
      <c r="F535" s="75"/>
      <c r="G535" s="75"/>
      <c r="H535" s="75"/>
      <c r="I535" s="75"/>
      <c r="J535" s="75"/>
      <c r="K535" s="75"/>
      <c r="L535" s="75"/>
      <c r="M535" s="75"/>
      <c r="N535" s="75"/>
      <c r="O535" s="75"/>
      <c r="P535" s="75"/>
      <c r="Q535" s="75"/>
      <c r="R535" s="75"/>
      <c r="S535" s="75"/>
      <c r="T535" s="75"/>
      <c r="U535" s="75"/>
      <c r="V535" s="77"/>
      <c r="W535" s="75"/>
      <c r="X535" s="75"/>
      <c r="Y535" s="75"/>
      <c r="Z535" s="78"/>
      <c r="AA535" s="78"/>
      <c r="AB535" s="75"/>
      <c r="AJ535" s="72"/>
    </row>
    <row r="536" spans="1:36" s="69" customFormat="1" x14ac:dyDescent="0.25">
      <c r="A536" s="75"/>
      <c r="B536" s="75"/>
      <c r="C536" s="76"/>
      <c r="D536" s="76"/>
      <c r="E536" s="75"/>
      <c r="F536" s="75"/>
      <c r="G536" s="75"/>
      <c r="H536" s="75"/>
      <c r="I536" s="75"/>
      <c r="J536" s="75"/>
      <c r="K536" s="75"/>
      <c r="L536" s="75"/>
      <c r="M536" s="75"/>
      <c r="N536" s="75"/>
      <c r="O536" s="75"/>
      <c r="P536" s="75"/>
      <c r="Q536" s="75"/>
      <c r="R536" s="75"/>
      <c r="S536" s="75"/>
      <c r="T536" s="75"/>
      <c r="U536" s="75"/>
      <c r="V536" s="77"/>
      <c r="W536" s="75"/>
      <c r="X536" s="75"/>
      <c r="Y536" s="75"/>
      <c r="Z536" s="78"/>
      <c r="AA536" s="78"/>
      <c r="AB536" s="75"/>
      <c r="AJ536" s="72"/>
    </row>
    <row r="537" spans="1:36" s="69" customFormat="1" x14ac:dyDescent="0.25">
      <c r="A537" s="75"/>
      <c r="B537" s="75"/>
      <c r="C537" s="76"/>
      <c r="D537" s="76"/>
      <c r="E537" s="75"/>
      <c r="F537" s="75"/>
      <c r="G537" s="75"/>
      <c r="H537" s="75"/>
      <c r="I537" s="75"/>
      <c r="J537" s="75"/>
      <c r="K537" s="75"/>
      <c r="L537" s="75"/>
      <c r="M537" s="75"/>
      <c r="N537" s="75"/>
      <c r="O537" s="75"/>
      <c r="P537" s="75"/>
      <c r="Q537" s="75"/>
      <c r="R537" s="75"/>
      <c r="S537" s="75"/>
      <c r="T537" s="75"/>
      <c r="U537" s="75"/>
      <c r="V537" s="77"/>
      <c r="W537" s="75"/>
      <c r="X537" s="75"/>
      <c r="Y537" s="75"/>
      <c r="Z537" s="78"/>
      <c r="AA537" s="78"/>
      <c r="AB537" s="75"/>
      <c r="AJ537" s="72"/>
    </row>
    <row r="538" spans="1:36" s="69" customFormat="1" x14ac:dyDescent="0.25">
      <c r="A538" s="75"/>
      <c r="B538" s="75"/>
      <c r="C538" s="76"/>
      <c r="D538" s="76"/>
      <c r="E538" s="75"/>
      <c r="F538" s="75"/>
      <c r="G538" s="75"/>
      <c r="H538" s="75"/>
      <c r="I538" s="75"/>
      <c r="J538" s="75"/>
      <c r="K538" s="75"/>
      <c r="L538" s="75"/>
      <c r="M538" s="75"/>
      <c r="N538" s="75"/>
      <c r="O538" s="75"/>
      <c r="P538" s="75"/>
      <c r="Q538" s="75"/>
      <c r="R538" s="75"/>
      <c r="S538" s="75"/>
      <c r="T538" s="75"/>
      <c r="U538" s="75"/>
      <c r="V538" s="77"/>
      <c r="W538" s="75"/>
      <c r="X538" s="75"/>
      <c r="Y538" s="75"/>
      <c r="Z538" s="78"/>
      <c r="AA538" s="78"/>
      <c r="AB538" s="75"/>
      <c r="AJ538" s="72"/>
    </row>
    <row r="539" spans="1:36" s="69" customFormat="1" x14ac:dyDescent="0.25">
      <c r="A539" s="75"/>
      <c r="B539" s="75"/>
      <c r="C539" s="76"/>
      <c r="D539" s="76"/>
      <c r="E539" s="75"/>
      <c r="F539" s="75"/>
      <c r="G539" s="75"/>
      <c r="H539" s="75"/>
      <c r="I539" s="75"/>
      <c r="J539" s="75"/>
      <c r="K539" s="75"/>
      <c r="L539" s="75"/>
      <c r="M539" s="75"/>
      <c r="N539" s="75"/>
      <c r="O539" s="75"/>
      <c r="P539" s="75"/>
      <c r="Q539" s="75"/>
      <c r="R539" s="75"/>
      <c r="S539" s="75"/>
      <c r="T539" s="75"/>
      <c r="U539" s="75"/>
      <c r="V539" s="77"/>
      <c r="W539" s="75"/>
      <c r="X539" s="75"/>
      <c r="Y539" s="75"/>
      <c r="Z539" s="78"/>
      <c r="AA539" s="78"/>
      <c r="AB539" s="75"/>
      <c r="AJ539" s="72"/>
    </row>
    <row r="540" spans="1:36" s="69" customFormat="1" x14ac:dyDescent="0.25">
      <c r="A540" s="75"/>
      <c r="B540" s="75"/>
      <c r="C540" s="76"/>
      <c r="D540" s="76"/>
      <c r="E540" s="75"/>
      <c r="F540" s="75"/>
      <c r="G540" s="75"/>
      <c r="H540" s="75"/>
      <c r="I540" s="75"/>
      <c r="J540" s="75"/>
      <c r="K540" s="75"/>
      <c r="L540" s="75"/>
      <c r="M540" s="75"/>
      <c r="N540" s="75"/>
      <c r="O540" s="75"/>
      <c r="P540" s="75"/>
      <c r="Q540" s="75"/>
      <c r="R540" s="75"/>
      <c r="S540" s="75"/>
      <c r="T540" s="75"/>
      <c r="U540" s="75"/>
      <c r="V540" s="77"/>
      <c r="W540" s="75"/>
      <c r="X540" s="75"/>
      <c r="Y540" s="75"/>
      <c r="Z540" s="78"/>
      <c r="AA540" s="78"/>
      <c r="AB540" s="75"/>
      <c r="AJ540" s="72"/>
    </row>
    <row r="541" spans="1:36" s="69" customFormat="1" x14ac:dyDescent="0.25">
      <c r="A541" s="75"/>
      <c r="B541" s="75"/>
      <c r="C541" s="76"/>
      <c r="D541" s="76"/>
      <c r="E541" s="75"/>
      <c r="F541" s="75"/>
      <c r="G541" s="75"/>
      <c r="H541" s="75"/>
      <c r="I541" s="75"/>
      <c r="J541" s="75"/>
      <c r="K541" s="75"/>
      <c r="L541" s="75"/>
      <c r="M541" s="75"/>
      <c r="N541" s="75"/>
      <c r="O541" s="75"/>
      <c r="P541" s="75"/>
      <c r="Q541" s="75"/>
      <c r="R541" s="75"/>
      <c r="S541" s="75"/>
      <c r="T541" s="75"/>
      <c r="U541" s="75"/>
      <c r="V541" s="77"/>
      <c r="W541" s="75"/>
      <c r="X541" s="75"/>
      <c r="Y541" s="75"/>
      <c r="Z541" s="78"/>
      <c r="AA541" s="78"/>
      <c r="AB541" s="75"/>
      <c r="AJ541" s="72"/>
    </row>
    <row r="542" spans="1:36" s="69" customFormat="1" x14ac:dyDescent="0.25">
      <c r="A542" s="75"/>
      <c r="B542" s="75"/>
      <c r="C542" s="76"/>
      <c r="D542" s="76"/>
      <c r="E542" s="75"/>
      <c r="F542" s="75"/>
      <c r="G542" s="75"/>
      <c r="H542" s="75"/>
      <c r="I542" s="75"/>
      <c r="J542" s="75"/>
      <c r="K542" s="75"/>
      <c r="L542" s="75"/>
      <c r="M542" s="75"/>
      <c r="N542" s="75"/>
      <c r="O542" s="75"/>
      <c r="P542" s="75"/>
      <c r="Q542" s="75"/>
      <c r="R542" s="75"/>
      <c r="S542" s="75"/>
      <c r="T542" s="75"/>
      <c r="U542" s="75"/>
      <c r="V542" s="77"/>
      <c r="W542" s="75"/>
      <c r="X542" s="75"/>
      <c r="Y542" s="75"/>
      <c r="Z542" s="78"/>
      <c r="AA542" s="78"/>
      <c r="AB542" s="75"/>
      <c r="AJ542" s="72"/>
    </row>
    <row r="543" spans="1:36" s="69" customFormat="1" x14ac:dyDescent="0.25">
      <c r="A543" s="75"/>
      <c r="B543" s="75"/>
      <c r="C543" s="76"/>
      <c r="D543" s="76"/>
      <c r="E543" s="75"/>
      <c r="F543" s="75"/>
      <c r="G543" s="75"/>
      <c r="H543" s="75"/>
      <c r="I543" s="75"/>
      <c r="J543" s="75"/>
      <c r="K543" s="75"/>
      <c r="L543" s="75"/>
      <c r="M543" s="75"/>
      <c r="N543" s="75"/>
      <c r="O543" s="75"/>
      <c r="P543" s="75"/>
      <c r="Q543" s="75"/>
      <c r="R543" s="75"/>
      <c r="S543" s="75"/>
      <c r="T543" s="75"/>
      <c r="U543" s="75"/>
      <c r="V543" s="77"/>
      <c r="W543" s="75"/>
      <c r="X543" s="75"/>
      <c r="Y543" s="75"/>
      <c r="Z543" s="78"/>
      <c r="AA543" s="78"/>
      <c r="AB543" s="75"/>
      <c r="AJ543" s="72"/>
    </row>
    <row r="544" spans="1:36" s="69" customFormat="1" x14ac:dyDescent="0.25">
      <c r="A544" s="75"/>
      <c r="B544" s="75"/>
      <c r="C544" s="76"/>
      <c r="D544" s="76"/>
      <c r="E544" s="75"/>
      <c r="F544" s="75"/>
      <c r="G544" s="75"/>
      <c r="H544" s="75"/>
      <c r="I544" s="75"/>
      <c r="J544" s="75"/>
      <c r="K544" s="75"/>
      <c r="L544" s="75"/>
      <c r="M544" s="75"/>
      <c r="N544" s="75"/>
      <c r="O544" s="75"/>
      <c r="P544" s="75"/>
      <c r="Q544" s="75"/>
      <c r="R544" s="75"/>
      <c r="S544" s="75"/>
      <c r="T544" s="75"/>
      <c r="U544" s="75"/>
      <c r="V544" s="77"/>
      <c r="W544" s="75"/>
      <c r="X544" s="75"/>
      <c r="Y544" s="75"/>
      <c r="Z544" s="78"/>
      <c r="AA544" s="78"/>
      <c r="AB544" s="75"/>
      <c r="AJ544" s="72"/>
    </row>
    <row r="545" spans="1:36" s="69" customFormat="1" x14ac:dyDescent="0.25">
      <c r="A545" s="75"/>
      <c r="B545" s="75"/>
      <c r="C545" s="76"/>
      <c r="D545" s="76"/>
      <c r="E545" s="75"/>
      <c r="F545" s="75"/>
      <c r="G545" s="75"/>
      <c r="H545" s="75"/>
      <c r="I545" s="75"/>
      <c r="J545" s="75"/>
      <c r="K545" s="75"/>
      <c r="L545" s="75"/>
      <c r="M545" s="75"/>
      <c r="N545" s="75"/>
      <c r="O545" s="75"/>
      <c r="P545" s="75"/>
      <c r="Q545" s="75"/>
      <c r="R545" s="75"/>
      <c r="S545" s="75"/>
      <c r="T545" s="75"/>
      <c r="U545" s="75"/>
      <c r="V545" s="77"/>
      <c r="W545" s="75"/>
      <c r="X545" s="75"/>
      <c r="Y545" s="75"/>
      <c r="Z545" s="78"/>
      <c r="AA545" s="78"/>
      <c r="AB545" s="75"/>
      <c r="AJ545" s="72"/>
    </row>
    <row r="546" spans="1:36" s="69" customFormat="1" x14ac:dyDescent="0.25">
      <c r="A546" s="75"/>
      <c r="B546" s="75"/>
      <c r="C546" s="76"/>
      <c r="D546" s="76"/>
      <c r="E546" s="75"/>
      <c r="F546" s="75"/>
      <c r="G546" s="75"/>
      <c r="H546" s="75"/>
      <c r="I546" s="75"/>
      <c r="J546" s="75"/>
      <c r="K546" s="75"/>
      <c r="L546" s="75"/>
      <c r="M546" s="75"/>
      <c r="N546" s="75"/>
      <c r="O546" s="75"/>
      <c r="P546" s="75"/>
      <c r="Q546" s="75"/>
      <c r="R546" s="75"/>
      <c r="S546" s="75"/>
      <c r="T546" s="75"/>
      <c r="U546" s="75"/>
      <c r="V546" s="77"/>
      <c r="W546" s="75"/>
      <c r="X546" s="75"/>
      <c r="Y546" s="75"/>
      <c r="Z546" s="78"/>
      <c r="AA546" s="78"/>
      <c r="AB546" s="75"/>
      <c r="AJ546" s="72"/>
    </row>
    <row r="547" spans="1:36" s="69" customFormat="1" x14ac:dyDescent="0.25">
      <c r="A547" s="75"/>
      <c r="B547" s="75"/>
      <c r="C547" s="76"/>
      <c r="D547" s="76"/>
      <c r="E547" s="75"/>
      <c r="F547" s="75"/>
      <c r="G547" s="75"/>
      <c r="H547" s="75"/>
      <c r="I547" s="75"/>
      <c r="J547" s="75"/>
      <c r="K547" s="75"/>
      <c r="L547" s="75"/>
      <c r="M547" s="75"/>
      <c r="N547" s="75"/>
      <c r="O547" s="75"/>
      <c r="P547" s="75"/>
      <c r="Q547" s="75"/>
      <c r="R547" s="75"/>
      <c r="S547" s="75"/>
      <c r="T547" s="75"/>
      <c r="U547" s="75"/>
      <c r="V547" s="77"/>
      <c r="W547" s="75"/>
      <c r="X547" s="75"/>
      <c r="Y547" s="75"/>
      <c r="Z547" s="78"/>
      <c r="AA547" s="78"/>
      <c r="AB547" s="75"/>
      <c r="AJ547" s="72"/>
    </row>
    <row r="548" spans="1:36" s="69" customFormat="1" x14ac:dyDescent="0.25">
      <c r="A548" s="75"/>
      <c r="B548" s="75"/>
      <c r="C548" s="76"/>
      <c r="D548" s="76"/>
      <c r="E548" s="75"/>
      <c r="F548" s="75"/>
      <c r="G548" s="75"/>
      <c r="H548" s="75"/>
      <c r="I548" s="75"/>
      <c r="J548" s="75"/>
      <c r="K548" s="75"/>
      <c r="L548" s="75"/>
      <c r="M548" s="75"/>
      <c r="N548" s="75"/>
      <c r="O548" s="75"/>
      <c r="P548" s="75"/>
      <c r="Q548" s="75"/>
      <c r="R548" s="75"/>
      <c r="S548" s="75"/>
      <c r="T548" s="75"/>
      <c r="U548" s="75"/>
      <c r="V548" s="77"/>
      <c r="W548" s="75"/>
      <c r="X548" s="75"/>
      <c r="Y548" s="75"/>
      <c r="Z548" s="78"/>
      <c r="AA548" s="78"/>
      <c r="AB548" s="75"/>
      <c r="AJ548" s="72"/>
    </row>
    <row r="549" spans="1:36" s="69" customFormat="1" x14ac:dyDescent="0.25">
      <c r="A549" s="75"/>
      <c r="B549" s="75"/>
      <c r="C549" s="76"/>
      <c r="D549" s="76"/>
      <c r="E549" s="75"/>
      <c r="F549" s="75"/>
      <c r="G549" s="75"/>
      <c r="H549" s="75"/>
      <c r="I549" s="75"/>
      <c r="J549" s="75"/>
      <c r="K549" s="75"/>
      <c r="L549" s="75"/>
      <c r="M549" s="75"/>
      <c r="N549" s="75"/>
      <c r="O549" s="75"/>
      <c r="P549" s="75"/>
      <c r="Q549" s="75"/>
      <c r="R549" s="75"/>
      <c r="S549" s="75"/>
      <c r="T549" s="75"/>
      <c r="U549" s="75"/>
      <c r="V549" s="77"/>
      <c r="W549" s="75"/>
      <c r="X549" s="75"/>
      <c r="Y549" s="75"/>
      <c r="Z549" s="78"/>
      <c r="AA549" s="78"/>
      <c r="AB549" s="75"/>
      <c r="AJ549" s="72"/>
    </row>
    <row r="550" spans="1:36" s="69" customFormat="1" x14ac:dyDescent="0.25">
      <c r="A550" s="75"/>
      <c r="B550" s="75"/>
      <c r="C550" s="76"/>
      <c r="D550" s="76"/>
      <c r="E550" s="75"/>
      <c r="F550" s="75"/>
      <c r="G550" s="75"/>
      <c r="H550" s="75"/>
      <c r="I550" s="75"/>
      <c r="J550" s="75"/>
      <c r="K550" s="75"/>
      <c r="L550" s="75"/>
      <c r="M550" s="75"/>
      <c r="N550" s="75"/>
      <c r="O550" s="75"/>
      <c r="P550" s="75"/>
      <c r="Q550" s="75"/>
      <c r="R550" s="75"/>
      <c r="S550" s="75"/>
      <c r="T550" s="75"/>
      <c r="U550" s="75"/>
      <c r="V550" s="77"/>
      <c r="W550" s="75"/>
      <c r="X550" s="75"/>
      <c r="Y550" s="75"/>
      <c r="Z550" s="78"/>
      <c r="AA550" s="78"/>
      <c r="AB550" s="75"/>
      <c r="AJ550" s="72"/>
    </row>
    <row r="551" spans="1:36" s="69" customFormat="1" x14ac:dyDescent="0.25">
      <c r="A551" s="75"/>
      <c r="B551" s="75"/>
      <c r="C551" s="76"/>
      <c r="D551" s="76"/>
      <c r="E551" s="75"/>
      <c r="F551" s="75"/>
      <c r="G551" s="75"/>
      <c r="H551" s="75"/>
      <c r="I551" s="75"/>
      <c r="J551" s="75"/>
      <c r="K551" s="75"/>
      <c r="L551" s="75"/>
      <c r="M551" s="75"/>
      <c r="N551" s="75"/>
      <c r="O551" s="75"/>
      <c r="P551" s="75"/>
      <c r="Q551" s="75"/>
      <c r="R551" s="75"/>
      <c r="S551" s="75"/>
      <c r="T551" s="75"/>
      <c r="U551" s="75"/>
      <c r="V551" s="77"/>
      <c r="W551" s="75"/>
      <c r="X551" s="75"/>
      <c r="Y551" s="75"/>
      <c r="Z551" s="78"/>
      <c r="AA551" s="78"/>
      <c r="AB551" s="75"/>
      <c r="AJ551" s="72"/>
    </row>
    <row r="552" spans="1:36" s="69" customFormat="1" x14ac:dyDescent="0.25">
      <c r="A552" s="75"/>
      <c r="B552" s="75"/>
      <c r="C552" s="76"/>
      <c r="D552" s="76"/>
      <c r="E552" s="75"/>
      <c r="F552" s="75"/>
      <c r="G552" s="75"/>
      <c r="H552" s="75"/>
      <c r="I552" s="75"/>
      <c r="J552" s="75"/>
      <c r="K552" s="75"/>
      <c r="L552" s="75"/>
      <c r="M552" s="75"/>
      <c r="N552" s="75"/>
      <c r="O552" s="75"/>
      <c r="P552" s="75"/>
      <c r="Q552" s="75"/>
      <c r="R552" s="75"/>
      <c r="S552" s="75"/>
      <c r="T552" s="75"/>
      <c r="U552" s="75"/>
      <c r="V552" s="77"/>
      <c r="W552" s="75"/>
      <c r="X552" s="75"/>
      <c r="Y552" s="75"/>
      <c r="Z552" s="78"/>
      <c r="AA552" s="78"/>
      <c r="AB552" s="75"/>
      <c r="AJ552" s="72"/>
    </row>
    <row r="553" spans="1:36" s="69" customFormat="1" x14ac:dyDescent="0.25">
      <c r="A553" s="75"/>
      <c r="B553" s="75"/>
      <c r="C553" s="76"/>
      <c r="D553" s="76"/>
      <c r="E553" s="75"/>
      <c r="F553" s="75"/>
      <c r="G553" s="75"/>
      <c r="H553" s="75"/>
      <c r="I553" s="75"/>
      <c r="J553" s="75"/>
      <c r="K553" s="75"/>
      <c r="L553" s="75"/>
      <c r="M553" s="75"/>
      <c r="N553" s="75"/>
      <c r="O553" s="75"/>
      <c r="P553" s="75"/>
      <c r="Q553" s="75"/>
      <c r="R553" s="75"/>
      <c r="S553" s="75"/>
      <c r="T553" s="75"/>
      <c r="U553" s="75"/>
      <c r="V553" s="77"/>
      <c r="W553" s="75"/>
      <c r="X553" s="75"/>
      <c r="Y553" s="75"/>
      <c r="Z553" s="78"/>
      <c r="AA553" s="78"/>
      <c r="AB553" s="75"/>
      <c r="AJ553" s="72"/>
    </row>
    <row r="554" spans="1:36" s="69" customFormat="1" x14ac:dyDescent="0.25">
      <c r="A554" s="75"/>
      <c r="B554" s="75"/>
      <c r="C554" s="76"/>
      <c r="D554" s="76"/>
      <c r="E554" s="75"/>
      <c r="F554" s="75"/>
      <c r="G554" s="75"/>
      <c r="H554" s="75"/>
      <c r="I554" s="75"/>
      <c r="J554" s="75"/>
      <c r="K554" s="75"/>
      <c r="L554" s="75"/>
      <c r="M554" s="75"/>
      <c r="N554" s="75"/>
      <c r="O554" s="75"/>
      <c r="P554" s="75"/>
      <c r="Q554" s="75"/>
      <c r="R554" s="75"/>
      <c r="S554" s="75"/>
      <c r="T554" s="75"/>
      <c r="U554" s="75"/>
      <c r="V554" s="77"/>
      <c r="W554" s="75"/>
      <c r="X554" s="75"/>
      <c r="Y554" s="75"/>
      <c r="Z554" s="78"/>
      <c r="AA554" s="78"/>
      <c r="AB554" s="75"/>
      <c r="AJ554" s="72"/>
    </row>
    <row r="555" spans="1:36" s="69" customFormat="1" x14ac:dyDescent="0.25">
      <c r="A555" s="75"/>
      <c r="B555" s="75"/>
      <c r="C555" s="76"/>
      <c r="D555" s="76"/>
      <c r="E555" s="75"/>
      <c r="F555" s="75"/>
      <c r="G555" s="75"/>
      <c r="H555" s="75"/>
      <c r="I555" s="75"/>
      <c r="J555" s="75"/>
      <c r="K555" s="75"/>
      <c r="L555" s="75"/>
      <c r="M555" s="75"/>
      <c r="N555" s="75"/>
      <c r="O555" s="75"/>
      <c r="P555" s="75"/>
      <c r="Q555" s="75"/>
      <c r="R555" s="75"/>
      <c r="S555" s="75"/>
      <c r="T555" s="75"/>
      <c r="U555" s="75"/>
      <c r="V555" s="77"/>
      <c r="W555" s="75"/>
      <c r="X555" s="75"/>
      <c r="Y555" s="75"/>
      <c r="Z555" s="78"/>
      <c r="AA555" s="78"/>
      <c r="AB555" s="75"/>
      <c r="AJ555" s="72"/>
    </row>
    <row r="556" spans="1:36" s="69" customFormat="1" x14ac:dyDescent="0.25">
      <c r="A556" s="75"/>
      <c r="B556" s="75"/>
      <c r="C556" s="76"/>
      <c r="D556" s="76"/>
      <c r="E556" s="75"/>
      <c r="F556" s="75"/>
      <c r="G556" s="75"/>
      <c r="H556" s="75"/>
      <c r="I556" s="75"/>
      <c r="J556" s="75"/>
      <c r="K556" s="75"/>
      <c r="L556" s="75"/>
      <c r="M556" s="75"/>
      <c r="N556" s="75"/>
      <c r="O556" s="75"/>
      <c r="P556" s="75"/>
      <c r="Q556" s="75"/>
      <c r="R556" s="75"/>
      <c r="S556" s="75"/>
      <c r="T556" s="75"/>
      <c r="U556" s="75"/>
      <c r="V556" s="77"/>
      <c r="W556" s="75"/>
      <c r="X556" s="75"/>
      <c r="Y556" s="75"/>
      <c r="Z556" s="78"/>
      <c r="AA556" s="78"/>
      <c r="AB556" s="75"/>
      <c r="AJ556" s="72"/>
    </row>
    <row r="557" spans="1:36" s="69" customFormat="1" x14ac:dyDescent="0.25">
      <c r="A557" s="75"/>
      <c r="B557" s="75"/>
      <c r="C557" s="76"/>
      <c r="D557" s="76"/>
      <c r="E557" s="75"/>
      <c r="F557" s="75"/>
      <c r="G557" s="75"/>
      <c r="H557" s="75"/>
      <c r="I557" s="75"/>
      <c r="J557" s="75"/>
      <c r="K557" s="75"/>
      <c r="L557" s="75"/>
      <c r="M557" s="75"/>
      <c r="N557" s="75"/>
      <c r="O557" s="75"/>
      <c r="P557" s="75"/>
      <c r="Q557" s="75"/>
      <c r="R557" s="75"/>
      <c r="S557" s="75"/>
      <c r="T557" s="75"/>
      <c r="U557" s="75"/>
      <c r="V557" s="77"/>
      <c r="W557" s="75"/>
      <c r="X557" s="75"/>
      <c r="Y557" s="75"/>
      <c r="Z557" s="78"/>
      <c r="AA557" s="78"/>
      <c r="AB557" s="75"/>
      <c r="AJ557" s="72"/>
    </row>
    <row r="558" spans="1:36" s="69" customFormat="1" x14ac:dyDescent="0.25">
      <c r="A558" s="75"/>
      <c r="B558" s="75"/>
      <c r="C558" s="76"/>
      <c r="D558" s="76"/>
      <c r="E558" s="75"/>
      <c r="F558" s="75"/>
      <c r="G558" s="75"/>
      <c r="H558" s="75"/>
      <c r="I558" s="75"/>
      <c r="J558" s="75"/>
      <c r="K558" s="75"/>
      <c r="L558" s="75"/>
      <c r="M558" s="75"/>
      <c r="N558" s="75"/>
      <c r="O558" s="75"/>
      <c r="P558" s="75"/>
      <c r="Q558" s="75"/>
      <c r="R558" s="75"/>
      <c r="S558" s="75"/>
      <c r="T558" s="75"/>
      <c r="U558" s="75"/>
      <c r="V558" s="77"/>
      <c r="W558" s="75"/>
      <c r="X558" s="75"/>
      <c r="Y558" s="75"/>
      <c r="Z558" s="78"/>
      <c r="AA558" s="78"/>
      <c r="AB558" s="75"/>
      <c r="AJ558" s="72"/>
    </row>
    <row r="559" spans="1:36" s="69" customFormat="1" x14ac:dyDescent="0.25">
      <c r="A559" s="75"/>
      <c r="B559" s="75"/>
      <c r="C559" s="76"/>
      <c r="D559" s="76"/>
      <c r="E559" s="75"/>
      <c r="F559" s="75"/>
      <c r="G559" s="75"/>
      <c r="H559" s="75"/>
      <c r="I559" s="75"/>
      <c r="J559" s="75"/>
      <c r="K559" s="75"/>
      <c r="L559" s="75"/>
      <c r="M559" s="75"/>
      <c r="N559" s="75"/>
      <c r="O559" s="75"/>
      <c r="P559" s="75"/>
      <c r="Q559" s="75"/>
      <c r="R559" s="75"/>
      <c r="S559" s="75"/>
      <c r="T559" s="75"/>
      <c r="U559" s="75"/>
      <c r="V559" s="77"/>
      <c r="W559" s="75"/>
      <c r="X559" s="75"/>
      <c r="Y559" s="75"/>
      <c r="Z559" s="78"/>
      <c r="AA559" s="78"/>
      <c r="AB559" s="75"/>
      <c r="AJ559" s="72"/>
    </row>
    <row r="560" spans="1:36" s="69" customFormat="1" x14ac:dyDescent="0.25">
      <c r="A560" s="75"/>
      <c r="B560" s="75"/>
      <c r="C560" s="76"/>
      <c r="D560" s="76"/>
      <c r="E560" s="75"/>
      <c r="F560" s="75"/>
      <c r="G560" s="75"/>
      <c r="H560" s="75"/>
      <c r="I560" s="75"/>
      <c r="J560" s="75"/>
      <c r="K560" s="75"/>
      <c r="L560" s="75"/>
      <c r="M560" s="75"/>
      <c r="N560" s="75"/>
      <c r="O560" s="75"/>
      <c r="P560" s="75"/>
      <c r="Q560" s="75"/>
      <c r="R560" s="75"/>
      <c r="S560" s="75"/>
      <c r="T560" s="75"/>
      <c r="U560" s="75"/>
      <c r="V560" s="77"/>
      <c r="W560" s="75"/>
      <c r="X560" s="75"/>
      <c r="Y560" s="75"/>
      <c r="Z560" s="78"/>
      <c r="AA560" s="78"/>
      <c r="AB560" s="75"/>
      <c r="AJ560" s="72"/>
    </row>
    <row r="561" spans="1:36" s="69" customFormat="1" x14ac:dyDescent="0.25">
      <c r="A561" s="75"/>
      <c r="B561" s="75"/>
      <c r="C561" s="76"/>
      <c r="D561" s="76"/>
      <c r="E561" s="75"/>
      <c r="F561" s="75"/>
      <c r="G561" s="75"/>
      <c r="H561" s="75"/>
      <c r="I561" s="75"/>
      <c r="J561" s="75"/>
      <c r="K561" s="75"/>
      <c r="L561" s="75"/>
      <c r="M561" s="75"/>
      <c r="N561" s="75"/>
      <c r="O561" s="75"/>
      <c r="P561" s="75"/>
      <c r="Q561" s="75"/>
      <c r="R561" s="75"/>
      <c r="S561" s="75"/>
      <c r="T561" s="75"/>
      <c r="U561" s="75"/>
      <c r="V561" s="77"/>
      <c r="W561" s="75"/>
      <c r="X561" s="75"/>
      <c r="Y561" s="75"/>
      <c r="Z561" s="78"/>
      <c r="AA561" s="78"/>
      <c r="AB561" s="75"/>
      <c r="AJ561" s="72"/>
    </row>
    <row r="562" spans="1:36" s="69" customFormat="1" x14ac:dyDescent="0.25">
      <c r="A562" s="75"/>
      <c r="B562" s="75"/>
      <c r="C562" s="76"/>
      <c r="D562" s="76"/>
      <c r="E562" s="75"/>
      <c r="F562" s="75"/>
      <c r="G562" s="75"/>
      <c r="H562" s="75"/>
      <c r="I562" s="75"/>
      <c r="J562" s="75"/>
      <c r="K562" s="75"/>
      <c r="L562" s="75"/>
      <c r="M562" s="75"/>
      <c r="N562" s="75"/>
      <c r="O562" s="75"/>
      <c r="P562" s="75"/>
      <c r="Q562" s="75"/>
      <c r="R562" s="75"/>
      <c r="S562" s="75"/>
      <c r="T562" s="75"/>
      <c r="U562" s="75"/>
      <c r="V562" s="77"/>
      <c r="W562" s="75"/>
      <c r="X562" s="75"/>
      <c r="Y562" s="75"/>
      <c r="Z562" s="78"/>
      <c r="AA562" s="78"/>
      <c r="AB562" s="75"/>
      <c r="AJ562" s="72"/>
    </row>
    <row r="563" spans="1:36" s="69" customFormat="1" x14ac:dyDescent="0.25">
      <c r="A563" s="75"/>
      <c r="B563" s="75"/>
      <c r="C563" s="76"/>
      <c r="D563" s="76"/>
      <c r="E563" s="75"/>
      <c r="F563" s="75"/>
      <c r="G563" s="75"/>
      <c r="H563" s="75"/>
      <c r="I563" s="75"/>
      <c r="J563" s="75"/>
      <c r="K563" s="75"/>
      <c r="L563" s="75"/>
      <c r="M563" s="75"/>
      <c r="N563" s="75"/>
      <c r="O563" s="75"/>
      <c r="P563" s="75"/>
      <c r="Q563" s="75"/>
      <c r="R563" s="75"/>
      <c r="S563" s="75"/>
      <c r="T563" s="75"/>
      <c r="U563" s="75"/>
      <c r="V563" s="77"/>
      <c r="W563" s="75"/>
      <c r="X563" s="75"/>
      <c r="Y563" s="75"/>
      <c r="Z563" s="78"/>
      <c r="AA563" s="78"/>
      <c r="AB563" s="75"/>
      <c r="AJ563" s="72"/>
    </row>
    <row r="564" spans="1:36" s="69" customFormat="1" x14ac:dyDescent="0.25">
      <c r="A564" s="75"/>
      <c r="B564" s="75"/>
      <c r="C564" s="76"/>
      <c r="D564" s="76"/>
      <c r="E564" s="75"/>
      <c r="F564" s="75"/>
      <c r="G564" s="75"/>
      <c r="H564" s="75"/>
      <c r="I564" s="75"/>
      <c r="J564" s="75"/>
      <c r="K564" s="75"/>
      <c r="L564" s="75"/>
      <c r="M564" s="75"/>
      <c r="N564" s="75"/>
      <c r="O564" s="75"/>
      <c r="P564" s="75"/>
      <c r="Q564" s="75"/>
      <c r="R564" s="75"/>
      <c r="S564" s="75"/>
      <c r="T564" s="75"/>
      <c r="U564" s="75"/>
      <c r="V564" s="77"/>
      <c r="W564" s="75"/>
      <c r="X564" s="75"/>
      <c r="Y564" s="75"/>
      <c r="Z564" s="78"/>
      <c r="AA564" s="78"/>
      <c r="AB564" s="75"/>
      <c r="AJ564" s="72"/>
    </row>
    <row r="565" spans="1:36" s="69" customFormat="1" x14ac:dyDescent="0.25">
      <c r="A565" s="75"/>
      <c r="B565" s="75"/>
      <c r="C565" s="76"/>
      <c r="D565" s="76"/>
      <c r="E565" s="75"/>
      <c r="F565" s="75"/>
      <c r="G565" s="75"/>
      <c r="H565" s="75"/>
      <c r="I565" s="75"/>
      <c r="J565" s="75"/>
      <c r="K565" s="75"/>
      <c r="L565" s="75"/>
      <c r="M565" s="75"/>
      <c r="N565" s="75"/>
      <c r="O565" s="75"/>
      <c r="P565" s="75"/>
      <c r="Q565" s="75"/>
      <c r="R565" s="75"/>
      <c r="S565" s="75"/>
      <c r="T565" s="75"/>
      <c r="U565" s="75"/>
      <c r="V565" s="77"/>
      <c r="W565" s="75"/>
      <c r="X565" s="75"/>
      <c r="Y565" s="75"/>
      <c r="Z565" s="78"/>
      <c r="AA565" s="78"/>
      <c r="AB565" s="75"/>
      <c r="AJ565" s="72"/>
    </row>
    <row r="566" spans="1:36" s="69" customFormat="1" x14ac:dyDescent="0.25">
      <c r="A566" s="75"/>
      <c r="B566" s="75"/>
      <c r="C566" s="76"/>
      <c r="D566" s="76"/>
      <c r="E566" s="75"/>
      <c r="F566" s="75"/>
      <c r="G566" s="75"/>
      <c r="H566" s="75"/>
      <c r="I566" s="75"/>
      <c r="J566" s="75"/>
      <c r="K566" s="75"/>
      <c r="L566" s="75"/>
      <c r="M566" s="75"/>
      <c r="N566" s="75"/>
      <c r="O566" s="75"/>
      <c r="P566" s="75"/>
      <c r="Q566" s="75"/>
      <c r="R566" s="75"/>
      <c r="S566" s="75"/>
      <c r="T566" s="75"/>
      <c r="U566" s="75"/>
      <c r="V566" s="77"/>
      <c r="W566" s="75"/>
      <c r="X566" s="75"/>
      <c r="Y566" s="75"/>
      <c r="Z566" s="78"/>
      <c r="AA566" s="78"/>
      <c r="AB566" s="75"/>
      <c r="AJ566" s="72"/>
    </row>
    <row r="567" spans="1:36" s="69" customFormat="1" x14ac:dyDescent="0.25">
      <c r="A567" s="75"/>
      <c r="B567" s="75"/>
      <c r="C567" s="76"/>
      <c r="D567" s="76"/>
      <c r="E567" s="75"/>
      <c r="F567" s="75"/>
      <c r="G567" s="75"/>
      <c r="H567" s="75"/>
      <c r="I567" s="75"/>
      <c r="J567" s="75"/>
      <c r="K567" s="75"/>
      <c r="L567" s="75"/>
      <c r="M567" s="75"/>
      <c r="N567" s="75"/>
      <c r="O567" s="75"/>
      <c r="P567" s="75"/>
      <c r="Q567" s="75"/>
      <c r="R567" s="75"/>
      <c r="S567" s="75"/>
      <c r="T567" s="75"/>
      <c r="U567" s="75"/>
      <c r="V567" s="77"/>
      <c r="W567" s="75"/>
      <c r="X567" s="75"/>
      <c r="Y567" s="75"/>
      <c r="Z567" s="78"/>
      <c r="AA567" s="78"/>
      <c r="AB567" s="75"/>
      <c r="AJ567" s="72"/>
    </row>
    <row r="568" spans="1:36" s="69" customFormat="1" x14ac:dyDescent="0.25">
      <c r="A568" s="75"/>
      <c r="B568" s="75"/>
      <c r="C568" s="76"/>
      <c r="D568" s="76"/>
      <c r="E568" s="75"/>
      <c r="F568" s="75"/>
      <c r="G568" s="75"/>
      <c r="H568" s="75"/>
      <c r="I568" s="75"/>
      <c r="J568" s="75"/>
      <c r="K568" s="75"/>
      <c r="L568" s="75"/>
      <c r="M568" s="75"/>
      <c r="N568" s="75"/>
      <c r="O568" s="75"/>
      <c r="P568" s="75"/>
      <c r="Q568" s="75"/>
      <c r="R568" s="75"/>
      <c r="S568" s="75"/>
      <c r="T568" s="75"/>
      <c r="U568" s="75"/>
      <c r="V568" s="77"/>
      <c r="W568" s="75"/>
      <c r="X568" s="75"/>
      <c r="Y568" s="75"/>
      <c r="Z568" s="78"/>
      <c r="AA568" s="78"/>
      <c r="AB568" s="75"/>
      <c r="AJ568" s="72"/>
    </row>
    <row r="569" spans="1:36" s="69" customFormat="1" x14ac:dyDescent="0.25">
      <c r="A569" s="75"/>
      <c r="B569" s="75"/>
      <c r="C569" s="76"/>
      <c r="D569" s="76"/>
      <c r="E569" s="75"/>
      <c r="F569" s="75"/>
      <c r="G569" s="75"/>
      <c r="H569" s="75"/>
      <c r="I569" s="75"/>
      <c r="J569" s="75"/>
      <c r="K569" s="75"/>
      <c r="L569" s="75"/>
      <c r="M569" s="75"/>
      <c r="N569" s="75"/>
      <c r="O569" s="75"/>
      <c r="P569" s="75"/>
      <c r="Q569" s="75"/>
      <c r="R569" s="75"/>
      <c r="S569" s="75"/>
      <c r="T569" s="75"/>
      <c r="U569" s="75"/>
      <c r="V569" s="77"/>
      <c r="W569" s="75"/>
      <c r="X569" s="75"/>
      <c r="Y569" s="75"/>
      <c r="Z569" s="78"/>
      <c r="AA569" s="78"/>
      <c r="AB569" s="75"/>
      <c r="AJ569" s="72"/>
    </row>
    <row r="570" spans="1:36" s="69" customFormat="1" x14ac:dyDescent="0.25">
      <c r="A570" s="75"/>
      <c r="B570" s="75"/>
      <c r="C570" s="76"/>
      <c r="D570" s="76"/>
      <c r="E570" s="75"/>
      <c r="F570" s="75"/>
      <c r="G570" s="75"/>
      <c r="H570" s="75"/>
      <c r="I570" s="75"/>
      <c r="J570" s="75"/>
      <c r="K570" s="75"/>
      <c r="L570" s="75"/>
      <c r="M570" s="75"/>
      <c r="N570" s="75"/>
      <c r="O570" s="75"/>
      <c r="P570" s="75"/>
      <c r="Q570" s="75"/>
      <c r="R570" s="75"/>
      <c r="S570" s="75"/>
      <c r="T570" s="75"/>
      <c r="U570" s="75"/>
      <c r="V570" s="77"/>
      <c r="W570" s="75"/>
      <c r="X570" s="75"/>
      <c r="Y570" s="75"/>
      <c r="Z570" s="78"/>
      <c r="AA570" s="78"/>
      <c r="AB570" s="75"/>
      <c r="AJ570" s="72"/>
    </row>
    <row r="571" spans="1:36" s="69" customFormat="1" x14ac:dyDescent="0.25">
      <c r="A571" s="75"/>
      <c r="B571" s="75"/>
      <c r="C571" s="76"/>
      <c r="D571" s="76"/>
      <c r="E571" s="75"/>
      <c r="F571" s="75"/>
      <c r="G571" s="75"/>
      <c r="H571" s="75"/>
      <c r="I571" s="75"/>
      <c r="J571" s="75"/>
      <c r="K571" s="75"/>
      <c r="L571" s="75"/>
      <c r="M571" s="75"/>
      <c r="N571" s="75"/>
      <c r="O571" s="75"/>
      <c r="P571" s="75"/>
      <c r="Q571" s="75"/>
      <c r="R571" s="75"/>
      <c r="S571" s="75"/>
      <c r="T571" s="75"/>
      <c r="U571" s="75"/>
      <c r="V571" s="77"/>
      <c r="W571" s="75"/>
      <c r="X571" s="75"/>
      <c r="Y571" s="75"/>
      <c r="Z571" s="78"/>
      <c r="AA571" s="78"/>
      <c r="AB571" s="75"/>
      <c r="AJ571" s="72"/>
    </row>
    <row r="572" spans="1:36" s="69" customFormat="1" x14ac:dyDescent="0.25">
      <c r="B572" s="75"/>
      <c r="C572" s="76"/>
      <c r="D572" s="76"/>
      <c r="E572" s="75"/>
      <c r="F572" s="75"/>
      <c r="G572" s="75"/>
      <c r="H572" s="75"/>
      <c r="I572" s="75"/>
      <c r="J572" s="75"/>
      <c r="K572" s="75"/>
      <c r="L572" s="75"/>
      <c r="M572" s="75"/>
      <c r="N572" s="75"/>
      <c r="O572" s="75"/>
      <c r="P572" s="75"/>
      <c r="Q572" s="75"/>
      <c r="R572" s="75"/>
      <c r="S572" s="75"/>
      <c r="T572" s="75"/>
      <c r="U572" s="75"/>
      <c r="V572" s="77"/>
      <c r="W572" s="75"/>
      <c r="X572" s="75"/>
      <c r="Y572" s="75"/>
      <c r="Z572" s="78"/>
      <c r="AA572" s="78"/>
      <c r="AB572" s="75"/>
      <c r="AJ572" s="72"/>
    </row>
    <row r="573" spans="1:36" s="69" customFormat="1" x14ac:dyDescent="0.25">
      <c r="B573" s="75"/>
      <c r="C573" s="76"/>
      <c r="D573" s="76"/>
      <c r="E573" s="75"/>
      <c r="F573" s="75"/>
      <c r="G573" s="75"/>
      <c r="H573" s="75"/>
      <c r="I573" s="75"/>
      <c r="J573" s="75"/>
      <c r="K573" s="75"/>
      <c r="L573" s="75"/>
      <c r="M573" s="75"/>
      <c r="N573" s="75"/>
      <c r="O573" s="75"/>
      <c r="P573" s="75"/>
      <c r="Q573" s="75"/>
      <c r="R573" s="75"/>
      <c r="S573" s="75"/>
      <c r="T573" s="75"/>
      <c r="U573" s="75"/>
      <c r="V573" s="77"/>
      <c r="W573" s="75"/>
      <c r="X573" s="75"/>
      <c r="Y573" s="75"/>
      <c r="Z573" s="78"/>
      <c r="AA573" s="78"/>
      <c r="AB573" s="75"/>
      <c r="AJ573" s="72"/>
    </row>
    <row r="574" spans="1:36" s="69" customFormat="1" x14ac:dyDescent="0.25">
      <c r="B574" s="75"/>
      <c r="C574" s="76"/>
      <c r="D574" s="76"/>
      <c r="E574" s="75"/>
      <c r="F574" s="75"/>
      <c r="G574" s="75"/>
      <c r="H574" s="75"/>
      <c r="I574" s="75"/>
      <c r="J574" s="75"/>
      <c r="K574" s="75"/>
      <c r="L574" s="75"/>
      <c r="M574" s="75"/>
      <c r="N574" s="75"/>
      <c r="O574" s="75"/>
      <c r="P574" s="75"/>
      <c r="Q574" s="75"/>
      <c r="R574" s="75"/>
      <c r="S574" s="75"/>
      <c r="T574" s="75"/>
      <c r="U574" s="75"/>
      <c r="V574" s="77"/>
      <c r="W574" s="75"/>
      <c r="X574" s="75"/>
      <c r="Y574" s="75"/>
      <c r="Z574" s="78"/>
      <c r="AA574" s="78"/>
      <c r="AB574" s="75"/>
      <c r="AJ574" s="72"/>
    </row>
    <row r="575" spans="1:36" s="69" customFormat="1" x14ac:dyDescent="0.25">
      <c r="B575" s="75"/>
      <c r="C575" s="76"/>
      <c r="D575" s="76"/>
      <c r="E575" s="75"/>
      <c r="F575" s="75"/>
      <c r="G575" s="75"/>
      <c r="H575" s="75"/>
      <c r="I575" s="75"/>
      <c r="J575" s="75"/>
      <c r="K575" s="75"/>
      <c r="L575" s="75"/>
      <c r="M575" s="75"/>
      <c r="N575" s="75"/>
      <c r="O575" s="75"/>
      <c r="P575" s="75"/>
      <c r="Q575" s="75"/>
      <c r="R575" s="75"/>
      <c r="S575" s="75"/>
      <c r="T575" s="75"/>
      <c r="U575" s="75"/>
      <c r="V575" s="77"/>
      <c r="W575" s="75"/>
      <c r="X575" s="75"/>
      <c r="Y575" s="75"/>
      <c r="Z575" s="78"/>
      <c r="AA575" s="78"/>
      <c r="AB575" s="75"/>
      <c r="AJ575" s="72"/>
    </row>
    <row r="576" spans="1:36" s="69" customFormat="1" x14ac:dyDescent="0.25">
      <c r="B576" s="75"/>
      <c r="C576" s="76"/>
      <c r="D576" s="76"/>
      <c r="E576" s="75"/>
      <c r="F576" s="75"/>
      <c r="G576" s="75"/>
      <c r="H576" s="75"/>
      <c r="I576" s="75"/>
      <c r="J576" s="75"/>
      <c r="K576" s="75"/>
      <c r="L576" s="75"/>
      <c r="M576" s="75"/>
      <c r="N576" s="75"/>
      <c r="O576" s="75"/>
      <c r="P576" s="75"/>
      <c r="Q576" s="75"/>
      <c r="R576" s="75"/>
      <c r="S576" s="75"/>
      <c r="T576" s="75"/>
      <c r="U576" s="75"/>
      <c r="V576" s="77"/>
      <c r="W576" s="75"/>
      <c r="X576" s="75"/>
      <c r="Y576" s="75"/>
      <c r="Z576" s="78"/>
      <c r="AA576" s="78"/>
      <c r="AB576" s="75"/>
      <c r="AJ576" s="72"/>
    </row>
    <row r="577" spans="2:36" s="69" customFormat="1" x14ac:dyDescent="0.25">
      <c r="B577" s="75"/>
      <c r="C577" s="76"/>
      <c r="D577" s="76"/>
      <c r="E577" s="75"/>
      <c r="F577" s="75"/>
      <c r="G577" s="75"/>
      <c r="H577" s="75"/>
      <c r="I577" s="75"/>
      <c r="J577" s="75"/>
      <c r="K577" s="75"/>
      <c r="L577" s="75"/>
      <c r="M577" s="75"/>
      <c r="N577" s="75"/>
      <c r="O577" s="75"/>
      <c r="P577" s="75"/>
      <c r="Q577" s="75"/>
      <c r="R577" s="75"/>
      <c r="S577" s="75"/>
      <c r="T577" s="75"/>
      <c r="U577" s="75"/>
      <c r="V577" s="77"/>
      <c r="W577" s="75"/>
      <c r="X577" s="75"/>
      <c r="Y577" s="75"/>
      <c r="Z577" s="78"/>
      <c r="AA577" s="78"/>
      <c r="AB577" s="75"/>
      <c r="AJ577" s="72"/>
    </row>
    <row r="578" spans="2:36" s="69" customFormat="1" x14ac:dyDescent="0.25">
      <c r="B578" s="75"/>
      <c r="C578" s="76"/>
      <c r="D578" s="76"/>
      <c r="E578" s="75"/>
      <c r="F578" s="75"/>
      <c r="G578" s="75"/>
      <c r="H578" s="75"/>
      <c r="I578" s="75"/>
      <c r="J578" s="75"/>
      <c r="K578" s="75"/>
      <c r="L578" s="75"/>
      <c r="M578" s="75"/>
      <c r="N578" s="75"/>
      <c r="O578" s="75"/>
      <c r="P578" s="75"/>
      <c r="Q578" s="75"/>
      <c r="R578" s="75"/>
      <c r="S578" s="75"/>
      <c r="T578" s="75"/>
      <c r="U578" s="75"/>
      <c r="V578" s="77"/>
      <c r="W578" s="75"/>
      <c r="X578" s="75"/>
      <c r="Y578" s="75"/>
      <c r="Z578" s="78"/>
      <c r="AA578" s="78"/>
      <c r="AB578" s="75"/>
      <c r="AJ578" s="72"/>
    </row>
    <row r="579" spans="2:36" s="69" customFormat="1" x14ac:dyDescent="0.25">
      <c r="B579" s="75"/>
      <c r="C579" s="76"/>
      <c r="D579" s="76"/>
      <c r="E579" s="75"/>
      <c r="F579" s="75"/>
      <c r="G579" s="75"/>
      <c r="H579" s="75"/>
      <c r="I579" s="75"/>
      <c r="J579" s="75"/>
      <c r="K579" s="75"/>
      <c r="L579" s="75"/>
      <c r="M579" s="75"/>
      <c r="N579" s="75"/>
      <c r="O579" s="75"/>
      <c r="P579" s="75"/>
      <c r="Q579" s="75"/>
      <c r="R579" s="75"/>
      <c r="S579" s="75"/>
      <c r="T579" s="75"/>
      <c r="U579" s="75"/>
      <c r="V579" s="77"/>
      <c r="W579" s="75"/>
      <c r="X579" s="75"/>
      <c r="Y579" s="75"/>
      <c r="Z579" s="78"/>
      <c r="AA579" s="78"/>
      <c r="AB579" s="75"/>
      <c r="AJ579" s="72"/>
    </row>
    <row r="580" spans="2:36" s="69" customFormat="1" x14ac:dyDescent="0.25">
      <c r="B580" s="75"/>
      <c r="C580" s="76"/>
      <c r="D580" s="76"/>
      <c r="E580" s="75"/>
      <c r="F580" s="75"/>
      <c r="G580" s="75"/>
      <c r="H580" s="75"/>
      <c r="I580" s="75"/>
      <c r="J580" s="75"/>
      <c r="K580" s="75"/>
      <c r="L580" s="75"/>
      <c r="M580" s="75"/>
      <c r="N580" s="75"/>
      <c r="O580" s="75"/>
      <c r="P580" s="75"/>
      <c r="Q580" s="75"/>
      <c r="R580" s="75"/>
      <c r="S580" s="75"/>
      <c r="T580" s="75"/>
      <c r="U580" s="75"/>
      <c r="V580" s="77"/>
      <c r="W580" s="75"/>
      <c r="X580" s="75"/>
      <c r="Y580" s="75"/>
      <c r="Z580" s="78"/>
      <c r="AA580" s="78"/>
      <c r="AB580" s="75"/>
      <c r="AJ580" s="72"/>
    </row>
    <row r="581" spans="2:36" s="69" customFormat="1" x14ac:dyDescent="0.25">
      <c r="B581" s="75"/>
      <c r="C581" s="76"/>
      <c r="D581" s="76"/>
      <c r="E581" s="75"/>
      <c r="F581" s="75"/>
      <c r="G581" s="75"/>
      <c r="H581" s="75"/>
      <c r="I581" s="75"/>
      <c r="J581" s="75"/>
      <c r="K581" s="75"/>
      <c r="L581" s="75"/>
      <c r="M581" s="75"/>
      <c r="N581" s="75"/>
      <c r="O581" s="75"/>
      <c r="P581" s="75"/>
      <c r="Q581" s="75"/>
      <c r="R581" s="75"/>
      <c r="S581" s="75"/>
      <c r="T581" s="75"/>
      <c r="U581" s="75"/>
      <c r="V581" s="77"/>
      <c r="W581" s="75"/>
      <c r="X581" s="75"/>
      <c r="Y581" s="75"/>
      <c r="Z581" s="78"/>
      <c r="AA581" s="78"/>
      <c r="AB581" s="75"/>
      <c r="AJ581" s="72"/>
    </row>
    <row r="582" spans="2:36" s="69" customFormat="1" x14ac:dyDescent="0.25">
      <c r="B582" s="75"/>
      <c r="C582" s="76"/>
      <c r="D582" s="76"/>
      <c r="E582" s="75"/>
      <c r="F582" s="75"/>
      <c r="G582" s="75"/>
      <c r="H582" s="75"/>
      <c r="I582" s="75"/>
      <c r="J582" s="75"/>
      <c r="K582" s="75"/>
      <c r="L582" s="75"/>
      <c r="M582" s="75"/>
      <c r="N582" s="75"/>
      <c r="O582" s="75"/>
      <c r="P582" s="75"/>
      <c r="Q582" s="75"/>
      <c r="R582" s="75"/>
      <c r="S582" s="75"/>
      <c r="T582" s="75"/>
      <c r="U582" s="75"/>
      <c r="V582" s="77"/>
      <c r="W582" s="75"/>
      <c r="X582" s="75"/>
      <c r="Y582" s="75"/>
      <c r="Z582" s="78"/>
      <c r="AA582" s="78"/>
      <c r="AB582" s="75"/>
      <c r="AJ582" s="72"/>
    </row>
    <row r="583" spans="2:36" s="69" customFormat="1" x14ac:dyDescent="0.25">
      <c r="B583" s="75"/>
      <c r="C583" s="76"/>
      <c r="D583" s="76"/>
      <c r="E583" s="75"/>
      <c r="F583" s="75"/>
      <c r="G583" s="75"/>
      <c r="H583" s="75"/>
      <c r="I583" s="75"/>
      <c r="J583" s="75"/>
      <c r="K583" s="75"/>
      <c r="L583" s="75"/>
      <c r="M583" s="75"/>
      <c r="N583" s="75"/>
      <c r="O583" s="75"/>
      <c r="P583" s="75"/>
      <c r="Q583" s="75"/>
      <c r="R583" s="75"/>
      <c r="S583" s="75"/>
      <c r="T583" s="75"/>
      <c r="U583" s="75"/>
      <c r="V583" s="77"/>
      <c r="W583" s="75"/>
      <c r="X583" s="75"/>
      <c r="Y583" s="75"/>
      <c r="Z583" s="78"/>
      <c r="AA583" s="78"/>
      <c r="AB583" s="75"/>
      <c r="AJ583" s="72"/>
    </row>
    <row r="584" spans="2:36" s="69" customFormat="1" x14ac:dyDescent="0.25">
      <c r="B584" s="75"/>
      <c r="C584" s="76"/>
      <c r="D584" s="76"/>
      <c r="E584" s="75"/>
      <c r="F584" s="75"/>
      <c r="G584" s="75"/>
      <c r="H584" s="75"/>
      <c r="I584" s="75"/>
      <c r="J584" s="75"/>
      <c r="K584" s="75"/>
      <c r="L584" s="75"/>
      <c r="M584" s="75"/>
      <c r="N584" s="75"/>
      <c r="O584" s="75"/>
      <c r="P584" s="75"/>
      <c r="Q584" s="75"/>
      <c r="R584" s="75"/>
      <c r="S584" s="75"/>
      <c r="T584" s="75"/>
      <c r="U584" s="75"/>
      <c r="V584" s="77"/>
      <c r="W584" s="75"/>
      <c r="X584" s="75"/>
      <c r="Y584" s="75"/>
      <c r="Z584" s="78"/>
      <c r="AA584" s="78"/>
      <c r="AB584" s="75"/>
      <c r="AJ584" s="72"/>
    </row>
    <row r="585" spans="2:36" s="69" customFormat="1" x14ac:dyDescent="0.25">
      <c r="B585" s="75"/>
      <c r="C585" s="76"/>
      <c r="D585" s="76"/>
      <c r="E585" s="75"/>
      <c r="F585" s="75"/>
      <c r="G585" s="75"/>
      <c r="H585" s="75"/>
      <c r="I585" s="75"/>
      <c r="J585" s="75"/>
      <c r="K585" s="75"/>
      <c r="L585" s="75"/>
      <c r="M585" s="75"/>
      <c r="N585" s="75"/>
      <c r="O585" s="75"/>
      <c r="P585" s="75"/>
      <c r="Q585" s="75"/>
      <c r="R585" s="75"/>
      <c r="S585" s="75"/>
      <c r="T585" s="75"/>
      <c r="U585" s="75"/>
      <c r="V585" s="77"/>
      <c r="W585" s="75"/>
      <c r="X585" s="75"/>
      <c r="Y585" s="75"/>
      <c r="Z585" s="78"/>
      <c r="AA585" s="78"/>
      <c r="AB585" s="75"/>
      <c r="AJ585" s="72"/>
    </row>
    <row r="586" spans="2:36" s="69" customFormat="1" x14ac:dyDescent="0.25">
      <c r="B586" s="75"/>
      <c r="C586" s="76"/>
      <c r="D586" s="76"/>
      <c r="E586" s="75"/>
      <c r="F586" s="75"/>
      <c r="G586" s="75"/>
      <c r="H586" s="75"/>
      <c r="I586" s="75"/>
      <c r="J586" s="75"/>
      <c r="K586" s="75"/>
      <c r="L586" s="75"/>
      <c r="M586" s="75"/>
      <c r="N586" s="75"/>
      <c r="O586" s="75"/>
      <c r="P586" s="75"/>
      <c r="Q586" s="75"/>
      <c r="R586" s="75"/>
      <c r="S586" s="75"/>
      <c r="T586" s="75"/>
      <c r="U586" s="75"/>
      <c r="V586" s="77"/>
      <c r="W586" s="75"/>
      <c r="X586" s="75"/>
      <c r="Y586" s="75"/>
      <c r="Z586" s="78"/>
      <c r="AA586" s="78"/>
      <c r="AB586" s="75"/>
      <c r="AJ586" s="72"/>
    </row>
    <row r="587" spans="2:36" s="69" customFormat="1" x14ac:dyDescent="0.25">
      <c r="B587" s="75"/>
      <c r="C587" s="76"/>
      <c r="D587" s="76"/>
      <c r="E587" s="75"/>
      <c r="F587" s="75"/>
      <c r="G587" s="75"/>
      <c r="H587" s="75"/>
      <c r="I587" s="75"/>
      <c r="J587" s="75"/>
      <c r="K587" s="75"/>
      <c r="L587" s="75"/>
      <c r="M587" s="75"/>
      <c r="N587" s="75"/>
      <c r="O587" s="75"/>
      <c r="P587" s="75"/>
      <c r="Q587" s="75"/>
      <c r="R587" s="75"/>
      <c r="S587" s="75"/>
      <c r="T587" s="75"/>
      <c r="U587" s="75"/>
      <c r="V587" s="77"/>
      <c r="W587" s="75"/>
      <c r="X587" s="75"/>
      <c r="Y587" s="75"/>
      <c r="Z587" s="78"/>
      <c r="AA587" s="78"/>
      <c r="AB587" s="75"/>
      <c r="AJ587" s="72"/>
    </row>
    <row r="588" spans="2:36" s="69" customFormat="1" x14ac:dyDescent="0.25">
      <c r="B588" s="75"/>
      <c r="C588" s="76"/>
      <c r="D588" s="76"/>
      <c r="E588" s="75"/>
      <c r="F588" s="75"/>
      <c r="G588" s="75"/>
      <c r="H588" s="75"/>
      <c r="I588" s="75"/>
      <c r="J588" s="75"/>
      <c r="K588" s="75"/>
      <c r="L588" s="75"/>
      <c r="M588" s="75"/>
      <c r="N588" s="75"/>
      <c r="O588" s="75"/>
      <c r="P588" s="75"/>
      <c r="Q588" s="75"/>
      <c r="R588" s="75"/>
      <c r="S588" s="75"/>
      <c r="T588" s="75"/>
      <c r="U588" s="75"/>
      <c r="V588" s="77"/>
      <c r="W588" s="75"/>
      <c r="X588" s="75"/>
      <c r="Y588" s="75"/>
      <c r="Z588" s="78"/>
      <c r="AA588" s="78"/>
      <c r="AB588" s="75"/>
      <c r="AJ588" s="72"/>
    </row>
    <row r="589" spans="2:36" s="69" customFormat="1" x14ac:dyDescent="0.25">
      <c r="B589" s="75"/>
      <c r="C589" s="76"/>
      <c r="D589" s="76"/>
      <c r="E589" s="75"/>
      <c r="F589" s="75"/>
      <c r="G589" s="75"/>
      <c r="H589" s="75"/>
      <c r="I589" s="75"/>
      <c r="J589" s="75"/>
      <c r="K589" s="75"/>
      <c r="L589" s="75"/>
      <c r="M589" s="75"/>
      <c r="N589" s="75"/>
      <c r="O589" s="75"/>
      <c r="P589" s="75"/>
      <c r="Q589" s="75"/>
      <c r="R589" s="75"/>
      <c r="S589" s="75"/>
      <c r="T589" s="75"/>
      <c r="U589" s="75"/>
      <c r="V589" s="77"/>
      <c r="W589" s="75"/>
      <c r="X589" s="75"/>
      <c r="Y589" s="75"/>
      <c r="Z589" s="78"/>
      <c r="AA589" s="78"/>
      <c r="AB589" s="75"/>
      <c r="AJ589" s="72"/>
    </row>
    <row r="590" spans="2:36" s="69" customFormat="1" x14ac:dyDescent="0.25">
      <c r="B590" s="75"/>
      <c r="C590" s="76"/>
      <c r="D590" s="76"/>
      <c r="E590" s="75"/>
      <c r="F590" s="75"/>
      <c r="G590" s="75"/>
      <c r="H590" s="75"/>
      <c r="I590" s="75"/>
      <c r="J590" s="75"/>
      <c r="K590" s="75"/>
      <c r="L590" s="75"/>
      <c r="M590" s="75"/>
      <c r="N590" s="75"/>
      <c r="O590" s="75"/>
      <c r="P590" s="75"/>
      <c r="Q590" s="75"/>
      <c r="R590" s="75"/>
      <c r="S590" s="75"/>
      <c r="T590" s="75"/>
      <c r="U590" s="75"/>
      <c r="V590" s="77"/>
      <c r="W590" s="75"/>
      <c r="X590" s="75"/>
      <c r="Y590" s="75"/>
      <c r="Z590" s="78"/>
      <c r="AA590" s="78"/>
      <c r="AB590" s="75"/>
      <c r="AJ590" s="72"/>
    </row>
    <row r="591" spans="2:36" s="69" customFormat="1" x14ac:dyDescent="0.25">
      <c r="B591" s="75"/>
      <c r="C591" s="76"/>
      <c r="D591" s="76"/>
      <c r="E591" s="75"/>
      <c r="F591" s="75"/>
      <c r="G591" s="75"/>
      <c r="H591" s="75"/>
      <c r="I591" s="75"/>
      <c r="J591" s="75"/>
      <c r="K591" s="75"/>
      <c r="L591" s="75"/>
      <c r="M591" s="75"/>
      <c r="N591" s="75"/>
      <c r="O591" s="75"/>
      <c r="P591" s="75"/>
      <c r="Q591" s="75"/>
      <c r="R591" s="75"/>
      <c r="S591" s="75"/>
      <c r="T591" s="75"/>
      <c r="U591" s="75"/>
      <c r="V591" s="77"/>
      <c r="W591" s="75"/>
      <c r="X591" s="75"/>
      <c r="Y591" s="75"/>
      <c r="Z591" s="78"/>
      <c r="AA591" s="78"/>
      <c r="AB591" s="75"/>
      <c r="AJ591" s="72"/>
    </row>
    <row r="592" spans="2:36" s="69" customFormat="1" x14ac:dyDescent="0.25">
      <c r="B592" s="75"/>
      <c r="C592" s="76"/>
      <c r="D592" s="76"/>
      <c r="E592" s="75"/>
      <c r="F592" s="75"/>
      <c r="G592" s="75"/>
      <c r="H592" s="75"/>
      <c r="I592" s="75"/>
      <c r="J592" s="75"/>
      <c r="K592" s="75"/>
      <c r="L592" s="75"/>
      <c r="M592" s="75"/>
      <c r="N592" s="75"/>
      <c r="O592" s="75"/>
      <c r="P592" s="75"/>
      <c r="Q592" s="75"/>
      <c r="R592" s="75"/>
      <c r="S592" s="75"/>
      <c r="T592" s="75"/>
      <c r="U592" s="75"/>
      <c r="V592" s="77"/>
      <c r="W592" s="75"/>
      <c r="X592" s="75"/>
      <c r="Y592" s="75"/>
      <c r="Z592" s="78"/>
      <c r="AA592" s="78"/>
      <c r="AB592" s="75"/>
      <c r="AJ592" s="72"/>
    </row>
    <row r="593" spans="2:36" s="69" customFormat="1" x14ac:dyDescent="0.25">
      <c r="C593" s="70"/>
      <c r="D593" s="70"/>
      <c r="V593" s="71"/>
      <c r="Z593" s="73"/>
      <c r="AA593" s="73"/>
      <c r="AJ593" s="72"/>
    </row>
    <row r="594" spans="2:36" s="69" customFormat="1" x14ac:dyDescent="0.25">
      <c r="C594" s="70"/>
      <c r="D594" s="70"/>
      <c r="V594" s="71"/>
      <c r="Z594" s="73"/>
      <c r="AA594" s="73"/>
      <c r="AJ594" s="72"/>
    </row>
    <row r="595" spans="2:36" s="69" customFormat="1" x14ac:dyDescent="0.25">
      <c r="C595" s="70"/>
      <c r="D595" s="70"/>
      <c r="V595" s="71"/>
      <c r="Z595" s="73"/>
      <c r="AA595" s="73"/>
      <c r="AJ595" s="72"/>
    </row>
    <row r="596" spans="2:36" s="69" customFormat="1" x14ac:dyDescent="0.25">
      <c r="C596" s="70"/>
      <c r="D596" s="70"/>
      <c r="V596" s="71"/>
      <c r="Z596" s="73"/>
      <c r="AA596" s="73"/>
      <c r="AJ596" s="72"/>
    </row>
    <row r="597" spans="2:36" x14ac:dyDescent="0.25">
      <c r="B597" s="24"/>
      <c r="C597" s="25"/>
      <c r="D597" s="25"/>
      <c r="E597" s="24"/>
      <c r="F597" s="24"/>
      <c r="G597" s="24"/>
      <c r="H597" s="24"/>
      <c r="I597" s="24"/>
      <c r="J597" s="24"/>
      <c r="K597" s="24"/>
      <c r="L597" s="24"/>
      <c r="M597" s="24"/>
      <c r="N597" s="24"/>
      <c r="O597" s="24"/>
      <c r="P597" s="24"/>
      <c r="Q597" s="24"/>
      <c r="R597" s="24"/>
      <c r="S597" s="24"/>
      <c r="T597" s="24"/>
      <c r="U597" s="24"/>
      <c r="V597" s="26"/>
    </row>
    <row r="598" spans="2:36" x14ac:dyDescent="0.25">
      <c r="B598" s="24"/>
      <c r="C598" s="25"/>
      <c r="D598" s="25"/>
      <c r="E598" s="24"/>
      <c r="F598" s="24"/>
      <c r="G598" s="24"/>
      <c r="H598" s="24"/>
      <c r="I598" s="24"/>
      <c r="J598" s="24"/>
      <c r="K598" s="24"/>
      <c r="L598" s="24"/>
      <c r="M598" s="24"/>
      <c r="N598" s="24"/>
      <c r="O598" s="24"/>
      <c r="P598" s="24"/>
      <c r="Q598" s="24"/>
      <c r="R598" s="24"/>
      <c r="S598" s="24"/>
      <c r="T598" s="24"/>
      <c r="U598" s="24"/>
      <c r="V598" s="26"/>
    </row>
    <row r="599" spans="2:36" x14ac:dyDescent="0.25">
      <c r="B599" s="24"/>
      <c r="C599" s="25"/>
      <c r="D599" s="25"/>
      <c r="E599" s="24"/>
      <c r="F599" s="24"/>
      <c r="G599" s="24"/>
      <c r="H599" s="24"/>
      <c r="I599" s="24"/>
      <c r="J599" s="24"/>
      <c r="K599" s="24"/>
      <c r="L599" s="24"/>
      <c r="M599" s="24"/>
      <c r="N599" s="24"/>
      <c r="O599" s="24"/>
      <c r="P599" s="24"/>
      <c r="Q599" s="24"/>
      <c r="R599" s="24"/>
      <c r="S599" s="24"/>
      <c r="T599" s="24"/>
      <c r="U599" s="24"/>
      <c r="V599" s="26"/>
    </row>
    <row r="600" spans="2:36" x14ac:dyDescent="0.25">
      <c r="B600" s="24"/>
      <c r="C600" s="25"/>
      <c r="D600" s="25"/>
      <c r="E600" s="24"/>
      <c r="F600" s="24"/>
      <c r="G600" s="24"/>
      <c r="H600" s="24"/>
      <c r="I600" s="24"/>
      <c r="J600" s="24"/>
      <c r="K600" s="24"/>
      <c r="L600" s="24"/>
      <c r="M600" s="24"/>
      <c r="N600" s="24"/>
      <c r="O600" s="24"/>
      <c r="P600" s="24"/>
      <c r="Q600" s="24"/>
      <c r="R600" s="24"/>
      <c r="S600" s="24"/>
      <c r="T600" s="24"/>
      <c r="U600" s="24"/>
      <c r="V600" s="26"/>
    </row>
    <row r="601" spans="2:36" x14ac:dyDescent="0.25">
      <c r="B601" s="24"/>
      <c r="C601" s="25"/>
      <c r="D601" s="25"/>
      <c r="E601" s="24"/>
      <c r="F601" s="24"/>
      <c r="G601" s="24"/>
      <c r="H601" s="24"/>
      <c r="I601" s="24"/>
      <c r="J601" s="24"/>
      <c r="K601" s="24"/>
      <c r="L601" s="24"/>
      <c r="M601" s="24"/>
      <c r="N601" s="24"/>
      <c r="O601" s="24"/>
      <c r="P601" s="24"/>
      <c r="Q601" s="24"/>
      <c r="R601" s="24"/>
      <c r="S601" s="24"/>
      <c r="T601" s="24"/>
      <c r="U601" s="24"/>
      <c r="V601" s="26"/>
    </row>
    <row r="602" spans="2:36" x14ac:dyDescent="0.25">
      <c r="B602" s="24"/>
      <c r="C602" s="25"/>
      <c r="D602" s="25"/>
      <c r="E602" s="24"/>
      <c r="F602" s="24"/>
      <c r="G602" s="24"/>
      <c r="H602" s="24"/>
      <c r="I602" s="24"/>
      <c r="J602" s="24"/>
      <c r="K602" s="24"/>
      <c r="L602" s="24"/>
      <c r="M602" s="24"/>
      <c r="N602" s="24"/>
      <c r="O602" s="24"/>
      <c r="P602" s="24"/>
      <c r="Q602" s="24"/>
      <c r="R602" s="24"/>
      <c r="S602" s="24"/>
      <c r="T602" s="24"/>
      <c r="U602" s="24"/>
      <c r="V602" s="26"/>
    </row>
  </sheetData>
  <sheetProtection selectLockedCells="1"/>
  <mergeCells count="25">
    <mergeCell ref="I332:J332"/>
    <mergeCell ref="K332:L332"/>
    <mergeCell ref="O332:P332"/>
    <mergeCell ref="Q332:U332"/>
    <mergeCell ref="I333:J333"/>
    <mergeCell ref="K333:L333"/>
    <mergeCell ref="O333:P333"/>
    <mergeCell ref="Q333:U333"/>
    <mergeCell ref="O6:P6"/>
    <mergeCell ref="Q6:U6"/>
    <mergeCell ref="E326:G326"/>
    <mergeCell ref="I331:J331"/>
    <mergeCell ref="K331:L331"/>
    <mergeCell ref="O331:P331"/>
    <mergeCell ref="Q331:U331"/>
    <mergeCell ref="B2:V2"/>
    <mergeCell ref="E4:V4"/>
    <mergeCell ref="E5:G6"/>
    <mergeCell ref="I5:J5"/>
    <mergeCell ref="K5:L5"/>
    <mergeCell ref="O5:P5"/>
    <mergeCell ref="Q5:U5"/>
    <mergeCell ref="V5:V6"/>
    <mergeCell ref="I6:J6"/>
    <mergeCell ref="K6:L6"/>
  </mergeCells>
  <conditionalFormatting sqref="G8:G325">
    <cfRule type="expression" dxfId="199" priority="6">
      <formula>$G8&lt;&gt;""</formula>
    </cfRule>
  </conditionalFormatting>
  <conditionalFormatting sqref="M332:O332 K332 H332:I332 Q332">
    <cfRule type="cellIs" dxfId="198" priority="3" operator="greaterThanOrEqual">
      <formula>0.9</formula>
    </cfRule>
    <cfRule type="cellIs" dxfId="197" priority="4" operator="between">
      <formula>0.00001</formula>
      <formula>0.499999</formula>
    </cfRule>
    <cfRule type="cellIs" dxfId="196" priority="5" operator="between">
      <formula>0.5</formula>
      <formula>0.89999</formula>
    </cfRule>
  </conditionalFormatting>
  <conditionalFormatting sqref="K332:K333 H332:I332 M332:O333 Q332:Q333">
    <cfRule type="containsErrors" dxfId="195" priority="7">
      <formula>ISERROR(H332)</formula>
    </cfRule>
  </conditionalFormatting>
  <conditionalFormatting sqref="H333:I333">
    <cfRule type="containsErrors" dxfId="194" priority="2">
      <formula>ISERROR(H333)</formula>
    </cfRule>
  </conditionalFormatting>
  <conditionalFormatting sqref="G8:G325">
    <cfRule type="expression" dxfId="193" priority="1">
      <formula>$G8=FALSE</formula>
    </cfRule>
  </conditionalFormatting>
  <pageMargins left="0.25" right="0.25" top="0.75" bottom="0.75" header="0.3" footer="0.3"/>
  <pageSetup scale="78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B9E6BB11-0629-45CD-A703-B55A36ECBCAF}">
          <x14:formula1>
            <xm:f>Données!$N$1:$N$4</xm:f>
          </x14:formula1>
          <xm:sqref>G8 G11</xm:sqref>
        </x14:dataValidation>
        <x14:dataValidation type="list" allowBlank="1" showInputMessage="1" showErrorMessage="1" xr:uid="{CAC7DE5D-2273-401C-B346-3FE9A091132C}">
          <x14:formula1>
            <xm:f>Données!$N$1:$N$4</xm:f>
          </x14:formula1>
          <xm:sqref>G9:G10 G12:G325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3B12C-4A6D-4E8F-8431-20C97506065D}">
  <sheetPr codeName="Feuil20">
    <tabColor theme="9"/>
    <pageSetUpPr fitToPage="1"/>
  </sheetPr>
  <dimension ref="A1:AL602"/>
  <sheetViews>
    <sheetView showGridLines="0" zoomScaleNormal="100" workbookViewId="0">
      <selection activeCell="H6" sqref="H6"/>
    </sheetView>
  </sheetViews>
  <sheetFormatPr baseColWidth="10" defaultColWidth="11.42578125" defaultRowHeight="15" x14ac:dyDescent="0.25"/>
  <cols>
    <col min="1" max="1" width="2.7109375" style="69" customWidth="1"/>
    <col min="2" max="2" width="23.5703125" style="3" customWidth="1"/>
    <col min="3" max="3" width="22.42578125" style="4" hidden="1" customWidth="1"/>
    <col min="4" max="4" width="25.140625" style="4" hidden="1" customWidth="1"/>
    <col min="5" max="5" width="15" style="3" customWidth="1"/>
    <col min="6" max="6" width="12.42578125" style="3" hidden="1" customWidth="1"/>
    <col min="7" max="7" width="6" style="3" customWidth="1"/>
    <col min="8" max="8" width="10.7109375" style="3" customWidth="1"/>
    <col min="9" max="21" width="7.85546875" style="3" customWidth="1"/>
    <col min="22" max="22" width="32.28515625" style="1" customWidth="1"/>
    <col min="23" max="23" width="4.140625" style="69" customWidth="1"/>
    <col min="24" max="25" width="11.42578125" style="69"/>
    <col min="26" max="27" width="11.42578125" style="73"/>
    <col min="28" max="35" width="11.42578125" style="69"/>
    <col min="36" max="36" width="11.42578125" style="72"/>
    <col min="37" max="16384" width="11.42578125" style="3"/>
  </cols>
  <sheetData>
    <row r="1" spans="1:38" s="69" customFormat="1" ht="3" customHeight="1" x14ac:dyDescent="0.25">
      <c r="A1" s="75"/>
      <c r="B1" s="75"/>
      <c r="C1" s="76"/>
      <c r="D1" s="76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7"/>
      <c r="W1" s="75"/>
      <c r="X1" s="75"/>
      <c r="Y1" s="75"/>
      <c r="Z1" s="96"/>
      <c r="AA1" s="96">
        <v>35741</v>
      </c>
      <c r="AB1" s="75"/>
      <c r="AC1" s="75"/>
      <c r="AD1" s="75"/>
      <c r="AE1" s="75"/>
      <c r="AF1" s="75"/>
      <c r="AG1" s="75"/>
      <c r="AH1" s="75"/>
      <c r="AI1" s="137"/>
      <c r="AJ1" s="79"/>
      <c r="AK1" s="75"/>
    </row>
    <row r="2" spans="1:38" ht="46.5" x14ac:dyDescent="0.25">
      <c r="A2" s="75"/>
      <c r="B2" s="160" t="s">
        <v>85</v>
      </c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161"/>
      <c r="V2" s="162"/>
      <c r="W2" s="75"/>
      <c r="X2" s="75"/>
      <c r="Y2" s="75"/>
      <c r="Z2" s="96"/>
      <c r="AA2" s="96"/>
      <c r="AB2" s="75"/>
      <c r="AC2" s="75"/>
      <c r="AD2" s="75"/>
      <c r="AE2" s="75"/>
      <c r="AF2" s="75"/>
      <c r="AG2" s="75"/>
      <c r="AH2" s="75"/>
      <c r="AI2" s="75"/>
      <c r="AJ2" s="79"/>
      <c r="AK2" s="75"/>
      <c r="AL2" s="75"/>
    </row>
    <row r="3" spans="1:38" s="69" customFormat="1" ht="3" customHeight="1" x14ac:dyDescent="0.25">
      <c r="A3" s="75"/>
      <c r="B3" s="75"/>
      <c r="C3" s="76"/>
      <c r="D3" s="76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7"/>
      <c r="W3" s="75"/>
      <c r="X3" s="75"/>
      <c r="Y3" s="75"/>
      <c r="Z3" s="96"/>
      <c r="AA3" s="96"/>
      <c r="AB3" s="75"/>
      <c r="AC3" s="75"/>
      <c r="AD3" s="75"/>
      <c r="AE3" s="75"/>
      <c r="AF3" s="75"/>
      <c r="AG3" s="75"/>
      <c r="AH3" s="75"/>
      <c r="AI3" s="75"/>
      <c r="AJ3" s="81"/>
      <c r="AK3" s="75"/>
      <c r="AL3" s="75"/>
    </row>
    <row r="4" spans="1:38" ht="46.5" customHeight="1" x14ac:dyDescent="0.25">
      <c r="A4" s="75"/>
      <c r="B4" s="75"/>
      <c r="C4" s="50"/>
      <c r="D4" s="50"/>
      <c r="E4" s="163" t="s">
        <v>126</v>
      </c>
      <c r="F4" s="164"/>
      <c r="G4" s="164"/>
      <c r="H4" s="164"/>
      <c r="I4" s="164"/>
      <c r="J4" s="164"/>
      <c r="K4" s="164"/>
      <c r="L4" s="164"/>
      <c r="M4" s="164"/>
      <c r="N4" s="164"/>
      <c r="O4" s="164"/>
      <c r="P4" s="164"/>
      <c r="Q4" s="164"/>
      <c r="R4" s="164"/>
      <c r="S4" s="164"/>
      <c r="T4" s="164"/>
      <c r="U4" s="164"/>
      <c r="V4" s="165"/>
      <c r="W4" s="75"/>
      <c r="X4" s="75"/>
      <c r="Y4" s="75"/>
      <c r="Z4" s="96"/>
      <c r="AA4" s="96"/>
      <c r="AB4" s="75"/>
      <c r="AC4" s="75"/>
      <c r="AD4" s="75"/>
      <c r="AE4" s="75"/>
      <c r="AF4" s="75"/>
      <c r="AG4" s="75"/>
      <c r="AH4" s="75"/>
      <c r="AI4" s="75"/>
      <c r="AJ4" s="81"/>
      <c r="AK4" s="75"/>
      <c r="AL4" s="75"/>
    </row>
    <row r="5" spans="1:38" ht="30.75" customHeight="1" x14ac:dyDescent="0.25">
      <c r="A5" s="75"/>
      <c r="B5" s="75"/>
      <c r="C5" s="50"/>
      <c r="D5" s="50"/>
      <c r="E5" s="166" t="s">
        <v>3</v>
      </c>
      <c r="F5" s="167"/>
      <c r="G5" s="168"/>
      <c r="H5" s="147">
        <v>10</v>
      </c>
      <c r="I5" s="172">
        <v>10</v>
      </c>
      <c r="J5" s="173"/>
      <c r="K5" s="172">
        <v>10</v>
      </c>
      <c r="L5" s="173"/>
      <c r="M5" s="151">
        <v>10</v>
      </c>
      <c r="N5" s="151">
        <v>10</v>
      </c>
      <c r="O5" s="172">
        <v>10</v>
      </c>
      <c r="P5" s="173"/>
      <c r="Q5" s="172">
        <v>10</v>
      </c>
      <c r="R5" s="183"/>
      <c r="S5" s="183"/>
      <c r="T5" s="183"/>
      <c r="U5" s="173"/>
      <c r="V5" s="184">
        <v>4</v>
      </c>
      <c r="W5" s="81"/>
      <c r="X5" s="75"/>
      <c r="Y5" s="75"/>
      <c r="Z5" s="96"/>
      <c r="AA5" s="96"/>
      <c r="AB5" s="75"/>
      <c r="AC5" s="75"/>
      <c r="AD5" s="75"/>
      <c r="AE5" s="75"/>
      <c r="AF5" s="75"/>
      <c r="AG5" s="75"/>
      <c r="AH5" s="75"/>
      <c r="AI5" s="75"/>
      <c r="AJ5" s="81"/>
      <c r="AK5" s="75"/>
      <c r="AL5" s="75"/>
    </row>
    <row r="6" spans="1:38" ht="30.75" customHeight="1" x14ac:dyDescent="0.25">
      <c r="A6" s="75"/>
      <c r="B6" s="75"/>
      <c r="C6" s="50"/>
      <c r="D6" s="50"/>
      <c r="E6" s="169"/>
      <c r="F6" s="170"/>
      <c r="G6" s="171"/>
      <c r="H6" s="150" t="s">
        <v>100</v>
      </c>
      <c r="I6" s="174" t="s">
        <v>101</v>
      </c>
      <c r="J6" s="175"/>
      <c r="K6" s="176" t="s">
        <v>102</v>
      </c>
      <c r="L6" s="177"/>
      <c r="M6" s="156" t="s">
        <v>103</v>
      </c>
      <c r="N6" s="156" t="s">
        <v>104</v>
      </c>
      <c r="O6" s="178" t="s">
        <v>105</v>
      </c>
      <c r="P6" s="179"/>
      <c r="Q6" s="180" t="s">
        <v>106</v>
      </c>
      <c r="R6" s="181"/>
      <c r="S6" s="181"/>
      <c r="T6" s="181"/>
      <c r="U6" s="182"/>
      <c r="V6" s="185"/>
      <c r="W6" s="81"/>
      <c r="X6" s="75"/>
      <c r="Y6" s="75"/>
      <c r="Z6" s="96"/>
      <c r="AA6" s="96"/>
      <c r="AB6" s="75"/>
      <c r="AC6" s="75"/>
      <c r="AD6" s="75"/>
      <c r="AE6" s="75"/>
      <c r="AF6" s="75"/>
      <c r="AG6" s="75"/>
      <c r="AH6" s="75"/>
      <c r="AI6" s="75"/>
      <c r="AJ6" s="81"/>
      <c r="AK6" s="75"/>
      <c r="AL6" s="75"/>
    </row>
    <row r="7" spans="1:38" s="1" customFormat="1" ht="87" customHeight="1" x14ac:dyDescent="0.25">
      <c r="A7" s="77"/>
      <c r="B7" s="138"/>
      <c r="C7" s="32" t="s">
        <v>10</v>
      </c>
      <c r="D7" s="33" t="s">
        <v>82</v>
      </c>
      <c r="E7" s="86" t="s">
        <v>11</v>
      </c>
      <c r="F7" s="34" t="s">
        <v>12</v>
      </c>
      <c r="G7" s="86" t="s">
        <v>13</v>
      </c>
      <c r="H7" s="146" t="s">
        <v>107</v>
      </c>
      <c r="I7" s="145" t="s">
        <v>108</v>
      </c>
      <c r="J7" s="145" t="s">
        <v>109</v>
      </c>
      <c r="K7" s="139" t="s">
        <v>110</v>
      </c>
      <c r="L7" s="139" t="s">
        <v>111</v>
      </c>
      <c r="M7" s="144" t="s">
        <v>112</v>
      </c>
      <c r="N7" s="144" t="s">
        <v>113</v>
      </c>
      <c r="O7" s="140" t="s">
        <v>114</v>
      </c>
      <c r="P7" s="141" t="s">
        <v>115</v>
      </c>
      <c r="Q7" s="142" t="s">
        <v>116</v>
      </c>
      <c r="R7" s="142" t="s">
        <v>117</v>
      </c>
      <c r="S7" s="142" t="s">
        <v>118</v>
      </c>
      <c r="T7" s="142" t="s">
        <v>119</v>
      </c>
      <c r="U7" s="142" t="s">
        <v>120</v>
      </c>
      <c r="V7" s="86" t="s">
        <v>15</v>
      </c>
      <c r="W7" s="77"/>
      <c r="X7" s="77"/>
      <c r="Y7" s="77"/>
      <c r="Z7" s="97"/>
      <c r="AA7" s="97"/>
      <c r="AB7" s="77"/>
      <c r="AC7" s="77"/>
      <c r="AD7" s="77"/>
      <c r="AE7" s="77"/>
      <c r="AF7" s="77"/>
      <c r="AG7" s="77"/>
      <c r="AH7" s="77"/>
      <c r="AI7" s="77"/>
      <c r="AJ7" s="94"/>
      <c r="AK7" s="77"/>
      <c r="AL7" s="77"/>
    </row>
    <row r="8" spans="1:38" x14ac:dyDescent="0.25">
      <c r="A8" s="75"/>
      <c r="B8" s="75"/>
      <c r="C8" s="35">
        <f>INDEX(Données!$F$2:$L$54,MATCH(F8,Données!$F$2:$F$54,0),2)</f>
        <v>43829</v>
      </c>
      <c r="D8" s="28" t="str">
        <f t="shared" ref="D8:D71" si="0">$E$4</f>
        <v>#4</v>
      </c>
      <c r="E8" s="5">
        <f>Données!G2</f>
        <v>43829</v>
      </c>
      <c r="F8" s="10" t="str">
        <f>INDEX(Données!$F$2:$L$54,MATCH('#4'!E8,Données!$G$2:$G$54,1),1)</f>
        <v>1</v>
      </c>
      <c r="G8" s="18" t="str">
        <f t="shared" ref="G8:G71" si="1">IF(AND($V$5=1),"PS-1",IF(AND($V$5=2),"PS-2",IF(AND($V$5=4),"PS-4",IF(AND($V$5=6),"S.O.",IF(AND($V$5=5),"")))))</f>
        <v>PS-4</v>
      </c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9"/>
      <c r="W8" s="75"/>
      <c r="X8" s="75"/>
      <c r="Y8" s="75"/>
      <c r="Z8" s="96">
        <f>SUM(Tableau15[[#This Row],[A-1]:[G-5]])</f>
        <v>0</v>
      </c>
      <c r="AA8" s="96" t="str">
        <f>IF(AND(Z8&gt;0,Tableau15[[#This Row],[CDS]]=""),"Oui","Non")</f>
        <v>Non</v>
      </c>
      <c r="AB8" s="75"/>
      <c r="AC8" s="75"/>
      <c r="AD8" s="75"/>
      <c r="AE8" s="75"/>
      <c r="AF8" s="75"/>
      <c r="AG8" s="75"/>
      <c r="AH8" s="75"/>
      <c r="AI8" s="75"/>
      <c r="AJ8" s="81"/>
      <c r="AK8" s="75"/>
      <c r="AL8" s="75"/>
    </row>
    <row r="9" spans="1:38" x14ac:dyDescent="0.25">
      <c r="A9" s="75"/>
      <c r="B9" s="75"/>
      <c r="C9" s="35">
        <f>INDEX(Données!$F$2:$L$54,MATCH(F9,Données!$F$2:$F$54,0),2)</f>
        <v>43829</v>
      </c>
      <c r="D9" s="29" t="str">
        <f t="shared" si="0"/>
        <v>#4</v>
      </c>
      <c r="E9" s="7">
        <f>Données!H2</f>
        <v>43830</v>
      </c>
      <c r="F9" s="6" t="str">
        <f>INDEX(Données!$F$2:$L$54,MATCH('#4'!E9,Données!$G$2:$G$54,1),1)</f>
        <v>1</v>
      </c>
      <c r="G9" s="18" t="str">
        <f t="shared" si="1"/>
        <v>PS-4</v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1"/>
      <c r="W9" s="75"/>
      <c r="X9" s="75"/>
      <c r="Y9" s="75"/>
      <c r="Z9" s="96">
        <f>SUM(Tableau15[[#This Row],[A-1]:[G-5]])</f>
        <v>0</v>
      </c>
      <c r="AA9" s="96" t="str">
        <f>IF(AND(Z9&gt;0,Tableau15[[#This Row],[CDS]]=""),"Oui","Non")</f>
        <v>Non</v>
      </c>
      <c r="AB9" s="75"/>
      <c r="AC9" s="75"/>
      <c r="AD9" s="75"/>
      <c r="AE9" s="75"/>
      <c r="AF9" s="75"/>
      <c r="AG9" s="75"/>
      <c r="AH9" s="75"/>
      <c r="AI9" s="75"/>
      <c r="AJ9" s="81"/>
      <c r="AK9" s="75"/>
      <c r="AL9" s="75"/>
    </row>
    <row r="10" spans="1:38" x14ac:dyDescent="0.25">
      <c r="A10" s="75"/>
      <c r="B10" s="75"/>
      <c r="C10" s="35">
        <f>INDEX(Données!$F$2:$L$54,MATCH(F10,Données!$F$2:$F$54,0),2)</f>
        <v>43829</v>
      </c>
      <c r="D10" s="29" t="str">
        <f t="shared" si="0"/>
        <v>#4</v>
      </c>
      <c r="E10" s="7">
        <f>Données!I2</f>
        <v>43831</v>
      </c>
      <c r="F10" s="6" t="str">
        <f>INDEX(Données!$F$2:$L$54,MATCH('#4'!E10,Données!$G$2:$G$54,1),1)</f>
        <v>1</v>
      </c>
      <c r="G10" s="18" t="str">
        <f t="shared" si="1"/>
        <v>PS-4</v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1"/>
      <c r="W10" s="75"/>
      <c r="X10" s="75"/>
      <c r="Y10" s="75"/>
      <c r="Z10" s="96">
        <f>SUM(Tableau15[[#This Row],[A-1]:[G-5]])</f>
        <v>0</v>
      </c>
      <c r="AA10" s="96" t="str">
        <f>IF(AND(Z10&gt;0,Tableau15[[#This Row],[CDS]]=""),"Oui","Non")</f>
        <v>Non</v>
      </c>
      <c r="AB10" s="75"/>
      <c r="AC10" s="75"/>
      <c r="AD10" s="75"/>
      <c r="AE10" s="75"/>
      <c r="AF10" s="75"/>
      <c r="AG10" s="75"/>
      <c r="AH10" s="75"/>
      <c r="AI10" s="75"/>
      <c r="AJ10" s="81"/>
      <c r="AK10" s="75"/>
      <c r="AL10" s="75"/>
    </row>
    <row r="11" spans="1:38" x14ac:dyDescent="0.25">
      <c r="A11" s="75"/>
      <c r="B11" s="75"/>
      <c r="C11" s="35">
        <f>INDEX(Données!$F$2:$L$54,MATCH(F11,Données!$F$2:$F$54,0),2)</f>
        <v>43829</v>
      </c>
      <c r="D11" s="29" t="str">
        <f t="shared" si="0"/>
        <v>#4</v>
      </c>
      <c r="E11" s="7">
        <f>Données!J2</f>
        <v>43832</v>
      </c>
      <c r="F11" s="6" t="str">
        <f>INDEX(Données!$F$2:$L$54,MATCH('#4'!E11,Données!$G$2:$G$54,1),1)</f>
        <v>1</v>
      </c>
      <c r="G11" s="18" t="str">
        <f t="shared" si="1"/>
        <v>PS-4</v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1"/>
      <c r="W11" s="75"/>
      <c r="X11" s="75"/>
      <c r="Y11" s="75"/>
      <c r="Z11" s="96">
        <f>SUM(Tableau15[[#This Row],[A-1]:[G-5]])</f>
        <v>0</v>
      </c>
      <c r="AA11" s="96" t="str">
        <f>IF(AND(Z11&gt;0,Tableau15[[#This Row],[CDS]]=""),"Oui","Non")</f>
        <v>Non</v>
      </c>
      <c r="AB11" s="75"/>
      <c r="AC11" s="75"/>
      <c r="AD11" s="75"/>
      <c r="AE11" s="75"/>
      <c r="AF11" s="75"/>
      <c r="AG11" s="75"/>
      <c r="AH11" s="75"/>
      <c r="AI11" s="75"/>
      <c r="AJ11" s="81"/>
      <c r="AK11" s="75"/>
      <c r="AL11" s="75"/>
    </row>
    <row r="12" spans="1:38" x14ac:dyDescent="0.25">
      <c r="A12" s="75"/>
      <c r="B12" s="75"/>
      <c r="C12" s="35">
        <f>INDEX(Données!$F$2:$L$54,MATCH(F12,Données!$F$2:$F$54,0),2)</f>
        <v>43829</v>
      </c>
      <c r="D12" s="29" t="str">
        <f t="shared" si="0"/>
        <v>#4</v>
      </c>
      <c r="E12" s="7">
        <f>Données!K2</f>
        <v>43833</v>
      </c>
      <c r="F12" s="6" t="str">
        <f>INDEX(Données!$F$2:$L$54,MATCH('#4'!E12,Données!$G$2:$G$54,1),1)</f>
        <v>1</v>
      </c>
      <c r="G12" s="18" t="str">
        <f t="shared" si="1"/>
        <v>PS-4</v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1"/>
      <c r="W12" s="75"/>
      <c r="X12" s="75"/>
      <c r="Y12" s="75"/>
      <c r="Z12" s="96">
        <f>SUM(Tableau15[[#This Row],[A-1]:[G-5]])</f>
        <v>0</v>
      </c>
      <c r="AA12" s="96" t="str">
        <f>IF(AND(Z12&gt;0,Tableau15[[#This Row],[CDS]]=""),"Oui","Non")</f>
        <v>Non</v>
      </c>
      <c r="AB12" s="75"/>
      <c r="AC12" s="75"/>
      <c r="AD12" s="75"/>
      <c r="AE12" s="75"/>
      <c r="AF12" s="75"/>
      <c r="AG12" s="75"/>
      <c r="AH12" s="75"/>
      <c r="AI12" s="75"/>
      <c r="AJ12" s="81"/>
      <c r="AK12" s="75"/>
      <c r="AL12" s="75"/>
    </row>
    <row r="13" spans="1:38" ht="15.75" thickBot="1" x14ac:dyDescent="0.3">
      <c r="A13" s="75"/>
      <c r="B13" s="75"/>
      <c r="C13" s="35">
        <f>INDEX(Données!$F$2:$L$54,MATCH(F13,Données!$F$2:$F$54,0),2)</f>
        <v>43829</v>
      </c>
      <c r="D13" s="29" t="str">
        <f t="shared" si="0"/>
        <v>#4</v>
      </c>
      <c r="E13" s="7">
        <f>Données!L2</f>
        <v>43834</v>
      </c>
      <c r="F13" s="6" t="str">
        <f>INDEX(Données!$F$2:$L$54,MATCH('#4'!E13,Données!$G$2:$G$54,1),1)</f>
        <v>1</v>
      </c>
      <c r="G13" s="18" t="str">
        <f t="shared" si="1"/>
        <v>PS-4</v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1"/>
      <c r="W13" s="75"/>
      <c r="X13" s="75"/>
      <c r="Y13" s="75"/>
      <c r="Z13" s="96">
        <f>SUM(Tableau15[[#This Row],[A-1]:[G-5]])</f>
        <v>0</v>
      </c>
      <c r="AA13" s="96" t="str">
        <f>IF(AND(Z13&gt;0,Tableau15[[#This Row],[CDS]]=""),"Oui","Non")</f>
        <v>Non</v>
      </c>
      <c r="AB13" s="75"/>
      <c r="AC13" s="75"/>
      <c r="AD13" s="75"/>
      <c r="AE13" s="75"/>
      <c r="AF13" s="75"/>
      <c r="AG13" s="75"/>
      <c r="AH13" s="75"/>
      <c r="AI13" s="75"/>
      <c r="AJ13" s="81"/>
      <c r="AK13" s="75"/>
      <c r="AL13" s="75"/>
    </row>
    <row r="14" spans="1:38" ht="15.75" hidden="1" thickBot="1" x14ac:dyDescent="0.3">
      <c r="A14" s="75"/>
      <c r="B14" s="75"/>
      <c r="C14" s="35">
        <f>INDEX(Données!$F$2:$L$54,MATCH(F14,Données!$F$2:$F$54,0),2)</f>
        <v>43836</v>
      </c>
      <c r="D14" s="29" t="str">
        <f t="shared" si="0"/>
        <v>#4</v>
      </c>
      <c r="E14" s="7">
        <f>Données!G3</f>
        <v>43836</v>
      </c>
      <c r="F14" s="6" t="str">
        <f>INDEX(Données!$F$2:$L$54,MATCH('#4'!E14,Données!$G$2:$G$54,1),1)</f>
        <v>2</v>
      </c>
      <c r="G14" s="18" t="str">
        <f t="shared" si="1"/>
        <v>PS-4</v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1"/>
      <c r="W14" s="75"/>
      <c r="X14" s="75"/>
      <c r="Y14" s="75"/>
      <c r="Z14" s="96">
        <f>SUM(Tableau15[[#This Row],[A-1]:[G-5]])</f>
        <v>0</v>
      </c>
      <c r="AA14" s="96" t="str">
        <f>IF(AND(Z14&gt;0,Tableau15[[#This Row],[CDS]]=""),"Oui","Non")</f>
        <v>Non</v>
      </c>
      <c r="AB14" s="75"/>
      <c r="AC14" s="75"/>
      <c r="AD14" s="75"/>
      <c r="AE14" s="75"/>
      <c r="AF14" s="75"/>
      <c r="AG14" s="75"/>
      <c r="AH14" s="75"/>
      <c r="AI14" s="75"/>
      <c r="AJ14" s="81"/>
      <c r="AK14" s="75"/>
      <c r="AL14" s="75"/>
    </row>
    <row r="15" spans="1:38" ht="15.75" hidden="1" thickBot="1" x14ac:dyDescent="0.3">
      <c r="A15" s="75"/>
      <c r="B15" s="75"/>
      <c r="C15" s="35">
        <f>INDEX(Données!$F$2:$L$54,MATCH(F15,Données!$F$2:$F$54,0),2)</f>
        <v>43836</v>
      </c>
      <c r="D15" s="29" t="str">
        <f t="shared" si="0"/>
        <v>#4</v>
      </c>
      <c r="E15" s="7">
        <f>Données!H3</f>
        <v>43837</v>
      </c>
      <c r="F15" s="6" t="str">
        <f>INDEX(Données!$F$2:$L$54,MATCH('#4'!E15,Données!$G$2:$G$54,1),1)</f>
        <v>2</v>
      </c>
      <c r="G15" s="18" t="str">
        <f t="shared" si="1"/>
        <v>PS-4</v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1"/>
      <c r="W15" s="75"/>
      <c r="X15" s="75"/>
      <c r="Y15" s="75"/>
      <c r="Z15" s="96">
        <f>SUM(Tableau15[[#This Row],[A-1]:[G-5]])</f>
        <v>0</v>
      </c>
      <c r="AA15" s="96" t="str">
        <f>IF(AND(Z15&gt;0,Tableau15[[#This Row],[CDS]]=""),"Oui","Non")</f>
        <v>Non</v>
      </c>
      <c r="AB15" s="75"/>
      <c r="AC15" s="75"/>
      <c r="AD15" s="75"/>
      <c r="AE15" s="75"/>
      <c r="AF15" s="75"/>
      <c r="AG15" s="75"/>
      <c r="AH15" s="75"/>
      <c r="AI15" s="75"/>
      <c r="AJ15" s="81"/>
      <c r="AK15" s="75"/>
      <c r="AL15" s="75"/>
    </row>
    <row r="16" spans="1:38" ht="15.75" hidden="1" thickBot="1" x14ac:dyDescent="0.3">
      <c r="A16" s="75"/>
      <c r="B16" s="75"/>
      <c r="C16" s="35">
        <f>INDEX(Données!$F$2:$L$54,MATCH(F16,Données!$F$2:$F$54,0),2)</f>
        <v>43836</v>
      </c>
      <c r="D16" s="29" t="str">
        <f t="shared" si="0"/>
        <v>#4</v>
      </c>
      <c r="E16" s="7">
        <f>Données!I3</f>
        <v>43838</v>
      </c>
      <c r="F16" s="6" t="str">
        <f>INDEX(Données!$F$2:$L$54,MATCH('#4'!E16,Données!$G$2:$G$54,1),1)</f>
        <v>2</v>
      </c>
      <c r="G16" s="18" t="str">
        <f t="shared" si="1"/>
        <v>PS-4</v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1"/>
      <c r="W16" s="75"/>
      <c r="X16" s="75"/>
      <c r="Y16" s="75"/>
      <c r="Z16" s="96">
        <f>SUM(Tableau15[[#This Row],[A-1]:[G-5]])</f>
        <v>0</v>
      </c>
      <c r="AA16" s="96" t="str">
        <f>IF(AND(Z16&gt;0,Tableau15[[#This Row],[CDS]]=""),"Oui","Non")</f>
        <v>Non</v>
      </c>
      <c r="AB16" s="75"/>
      <c r="AC16" s="75"/>
      <c r="AD16" s="75"/>
      <c r="AE16" s="75"/>
      <c r="AF16" s="75"/>
      <c r="AG16" s="75"/>
      <c r="AH16" s="75"/>
      <c r="AI16" s="75"/>
      <c r="AJ16" s="81"/>
      <c r="AK16" s="75"/>
      <c r="AL16" s="75"/>
    </row>
    <row r="17" spans="1:38" ht="15.75" hidden="1" thickBot="1" x14ac:dyDescent="0.3">
      <c r="A17" s="75"/>
      <c r="B17" s="75"/>
      <c r="C17" s="35">
        <f>INDEX(Données!$F$2:$L$54,MATCH(F17,Données!$F$2:$F$54,0),2)</f>
        <v>43836</v>
      </c>
      <c r="D17" s="29" t="str">
        <f t="shared" si="0"/>
        <v>#4</v>
      </c>
      <c r="E17" s="7">
        <f>Données!J3</f>
        <v>43839</v>
      </c>
      <c r="F17" s="6" t="str">
        <f>INDEX(Données!$F$2:$L$54,MATCH('#4'!E17,Données!$G$2:$G$54,1),1)</f>
        <v>2</v>
      </c>
      <c r="G17" s="18" t="str">
        <f t="shared" si="1"/>
        <v>PS-4</v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1"/>
      <c r="W17" s="75"/>
      <c r="X17" s="75"/>
      <c r="Y17" s="75"/>
      <c r="Z17" s="96">
        <f>SUM(Tableau15[[#This Row],[A-1]:[G-5]])</f>
        <v>0</v>
      </c>
      <c r="AA17" s="96" t="str">
        <f>IF(AND(Z17&gt;0,Tableau15[[#This Row],[CDS]]=""),"Oui","Non")</f>
        <v>Non</v>
      </c>
      <c r="AB17" s="75"/>
      <c r="AC17" s="75"/>
      <c r="AD17" s="75"/>
      <c r="AE17" s="75"/>
      <c r="AF17" s="75"/>
      <c r="AG17" s="75"/>
      <c r="AH17" s="75"/>
      <c r="AI17" s="75"/>
      <c r="AJ17" s="81"/>
      <c r="AK17" s="75"/>
      <c r="AL17" s="75"/>
    </row>
    <row r="18" spans="1:38" ht="15.75" hidden="1" thickBot="1" x14ac:dyDescent="0.3">
      <c r="A18" s="75"/>
      <c r="B18" s="75"/>
      <c r="C18" s="35">
        <f>INDEX(Données!$F$2:$L$54,MATCH(F18,Données!$F$2:$F$54,0),2)</f>
        <v>43836</v>
      </c>
      <c r="D18" s="29" t="str">
        <f t="shared" si="0"/>
        <v>#4</v>
      </c>
      <c r="E18" s="7">
        <f>Données!K3</f>
        <v>43840</v>
      </c>
      <c r="F18" s="6" t="str">
        <f>INDEX(Données!$F$2:$L$54,MATCH('#4'!E18,Données!$G$2:$G$54,1),1)</f>
        <v>2</v>
      </c>
      <c r="G18" s="18" t="str">
        <f t="shared" si="1"/>
        <v>PS-4</v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1"/>
      <c r="W18" s="75"/>
      <c r="X18" s="75"/>
      <c r="Y18" s="75"/>
      <c r="Z18" s="96">
        <f>SUM(Tableau15[[#This Row],[A-1]:[G-5]])</f>
        <v>0</v>
      </c>
      <c r="AA18" s="96" t="str">
        <f>IF(AND(Z18&gt;0,Tableau15[[#This Row],[CDS]]=""),"Oui","Non")</f>
        <v>Non</v>
      </c>
      <c r="AB18" s="75"/>
      <c r="AC18" s="75"/>
      <c r="AD18" s="75"/>
      <c r="AE18" s="75"/>
      <c r="AF18" s="75"/>
      <c r="AG18" s="75"/>
      <c r="AH18" s="75"/>
      <c r="AI18" s="75"/>
      <c r="AJ18" s="81"/>
      <c r="AK18" s="75"/>
      <c r="AL18" s="75"/>
    </row>
    <row r="19" spans="1:38" ht="15.75" hidden="1" thickBot="1" x14ac:dyDescent="0.3">
      <c r="A19" s="75"/>
      <c r="B19" s="75"/>
      <c r="C19" s="35">
        <f>INDEX(Données!$F$2:$L$54,MATCH(F19,Données!$F$2:$F$54,0),2)</f>
        <v>43836</v>
      </c>
      <c r="D19" s="29" t="str">
        <f t="shared" si="0"/>
        <v>#4</v>
      </c>
      <c r="E19" s="7">
        <f>Données!L3</f>
        <v>43841</v>
      </c>
      <c r="F19" s="6" t="str">
        <f>INDEX(Données!$F$2:$L$54,MATCH('#4'!E19,Données!$G$2:$G$54,1),1)</f>
        <v>2</v>
      </c>
      <c r="G19" s="18" t="str">
        <f t="shared" si="1"/>
        <v>PS-4</v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1"/>
      <c r="W19" s="75"/>
      <c r="X19" s="75"/>
      <c r="Y19" s="75"/>
      <c r="Z19" s="96">
        <f>SUM(Tableau15[[#This Row],[A-1]:[G-5]])</f>
        <v>0</v>
      </c>
      <c r="AA19" s="96" t="str">
        <f>IF(AND(Z19&gt;0,Tableau15[[#This Row],[CDS]]=""),"Oui","Non")</f>
        <v>Non</v>
      </c>
      <c r="AB19" s="75"/>
      <c r="AC19" s="75"/>
      <c r="AD19" s="75"/>
      <c r="AE19" s="75"/>
      <c r="AF19" s="75"/>
      <c r="AG19" s="75"/>
      <c r="AH19" s="75"/>
      <c r="AI19" s="75"/>
      <c r="AJ19" s="81"/>
      <c r="AK19" s="75"/>
      <c r="AL19" s="75"/>
    </row>
    <row r="20" spans="1:38" ht="15.75" hidden="1" thickBot="1" x14ac:dyDescent="0.3">
      <c r="A20" s="75"/>
      <c r="B20" s="75"/>
      <c r="C20" s="35">
        <f>INDEX(Données!$F$2:$L$54,MATCH(F20,Données!$F$2:$F$54,0),2)</f>
        <v>43843</v>
      </c>
      <c r="D20" s="29" t="str">
        <f t="shared" si="0"/>
        <v>#4</v>
      </c>
      <c r="E20" s="7">
        <f>Données!G4</f>
        <v>43843</v>
      </c>
      <c r="F20" s="6" t="str">
        <f>INDEX(Données!$F$2:$L$54,MATCH('#4'!E20,Données!$G$2:$G$54,1),1)</f>
        <v>3</v>
      </c>
      <c r="G20" s="18" t="str">
        <f t="shared" si="1"/>
        <v>PS-4</v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1"/>
      <c r="W20" s="75"/>
      <c r="X20" s="75"/>
      <c r="Y20" s="75"/>
      <c r="Z20" s="96">
        <f>SUM(Tableau15[[#This Row],[A-1]:[G-5]])</f>
        <v>0</v>
      </c>
      <c r="AA20" s="96" t="str">
        <f>IF(AND(Z20&gt;0,Tableau15[[#This Row],[CDS]]=""),"Oui","Non")</f>
        <v>Non</v>
      </c>
      <c r="AB20" s="75"/>
      <c r="AC20" s="75"/>
      <c r="AD20" s="75"/>
      <c r="AE20" s="75"/>
      <c r="AF20" s="75"/>
      <c r="AG20" s="75"/>
      <c r="AH20" s="75"/>
      <c r="AI20" s="75"/>
      <c r="AJ20" s="81"/>
      <c r="AK20" s="75"/>
      <c r="AL20" s="75"/>
    </row>
    <row r="21" spans="1:38" ht="15.75" hidden="1" thickBot="1" x14ac:dyDescent="0.3">
      <c r="A21" s="75"/>
      <c r="B21" s="75"/>
      <c r="C21" s="35">
        <f>INDEX(Données!$F$2:$L$54,MATCH(F21,Données!$F$2:$F$54,0),2)</f>
        <v>43843</v>
      </c>
      <c r="D21" s="29" t="str">
        <f t="shared" si="0"/>
        <v>#4</v>
      </c>
      <c r="E21" s="7">
        <f>Données!H4</f>
        <v>43844</v>
      </c>
      <c r="F21" s="6" t="str">
        <f>INDEX(Données!$F$2:$L$54,MATCH('#4'!E21,Données!$G$2:$G$54,1),1)</f>
        <v>3</v>
      </c>
      <c r="G21" s="18" t="str">
        <f t="shared" si="1"/>
        <v>PS-4</v>
      </c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1"/>
      <c r="W21" s="75"/>
      <c r="X21" s="75"/>
      <c r="Y21" s="75"/>
      <c r="Z21" s="96">
        <f>SUM(Tableau15[[#This Row],[A-1]:[G-5]])</f>
        <v>0</v>
      </c>
      <c r="AA21" s="96" t="str">
        <f>IF(AND(Z21&gt;0,Tableau15[[#This Row],[CDS]]=""),"Oui","Non")</f>
        <v>Non</v>
      </c>
      <c r="AB21" s="75"/>
      <c r="AC21" s="75"/>
      <c r="AD21" s="75"/>
      <c r="AE21" s="75"/>
      <c r="AF21" s="75"/>
      <c r="AG21" s="75"/>
      <c r="AH21" s="75"/>
      <c r="AI21" s="75"/>
      <c r="AJ21" s="81"/>
      <c r="AK21" s="75"/>
      <c r="AL21" s="75"/>
    </row>
    <row r="22" spans="1:38" ht="15.75" hidden="1" thickBot="1" x14ac:dyDescent="0.3">
      <c r="A22" s="75"/>
      <c r="B22" s="75"/>
      <c r="C22" s="35">
        <f>INDEX(Données!$F$2:$L$54,MATCH(F22,Données!$F$2:$F$54,0),2)</f>
        <v>43843</v>
      </c>
      <c r="D22" s="29" t="str">
        <f t="shared" si="0"/>
        <v>#4</v>
      </c>
      <c r="E22" s="7">
        <f>Données!I4</f>
        <v>43845</v>
      </c>
      <c r="F22" s="6" t="str">
        <f>INDEX(Données!$F$2:$L$54,MATCH('#4'!E22,Données!$G$2:$G$54,1),1)</f>
        <v>3</v>
      </c>
      <c r="G22" s="18" t="str">
        <f t="shared" si="1"/>
        <v>PS-4</v>
      </c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1"/>
      <c r="W22" s="75"/>
      <c r="X22" s="75"/>
      <c r="Y22" s="75"/>
      <c r="Z22" s="96">
        <f>SUM(Tableau15[[#This Row],[A-1]:[G-5]])</f>
        <v>0</v>
      </c>
      <c r="AA22" s="96" t="str">
        <f>IF(AND(Z22&gt;0,Tableau15[[#This Row],[CDS]]=""),"Oui","Non")</f>
        <v>Non</v>
      </c>
      <c r="AB22" s="75"/>
      <c r="AC22" s="75"/>
      <c r="AD22" s="75"/>
      <c r="AE22" s="75"/>
      <c r="AF22" s="75"/>
      <c r="AG22" s="75"/>
      <c r="AH22" s="75"/>
      <c r="AI22" s="75"/>
      <c r="AJ22" s="81"/>
      <c r="AK22" s="75"/>
      <c r="AL22" s="75"/>
    </row>
    <row r="23" spans="1:38" ht="15.75" hidden="1" thickBot="1" x14ac:dyDescent="0.3">
      <c r="A23" s="75"/>
      <c r="B23" s="75"/>
      <c r="C23" s="35">
        <f>INDEX(Données!$F$2:$L$54,MATCH(F23,Données!$F$2:$F$54,0),2)</f>
        <v>43843</v>
      </c>
      <c r="D23" s="29" t="str">
        <f t="shared" si="0"/>
        <v>#4</v>
      </c>
      <c r="E23" s="7">
        <f>Données!J4</f>
        <v>43846</v>
      </c>
      <c r="F23" s="6" t="str">
        <f>INDEX(Données!$F$2:$L$54,MATCH('#4'!E23,Données!$G$2:$G$54,1),1)</f>
        <v>3</v>
      </c>
      <c r="G23" s="18" t="str">
        <f t="shared" si="1"/>
        <v>PS-4</v>
      </c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1"/>
      <c r="W23" s="75"/>
      <c r="X23" s="75"/>
      <c r="Y23" s="75"/>
      <c r="Z23" s="96">
        <f>SUM(Tableau15[[#This Row],[A-1]:[G-5]])</f>
        <v>0</v>
      </c>
      <c r="AA23" s="96" t="str">
        <f>IF(AND(Z23&gt;0,Tableau15[[#This Row],[CDS]]=""),"Oui","Non")</f>
        <v>Non</v>
      </c>
      <c r="AB23" s="75"/>
      <c r="AC23" s="75"/>
      <c r="AD23" s="75"/>
      <c r="AE23" s="75"/>
      <c r="AF23" s="75"/>
      <c r="AG23" s="75"/>
      <c r="AH23" s="75"/>
      <c r="AI23" s="75"/>
      <c r="AJ23" s="81"/>
      <c r="AK23" s="75"/>
      <c r="AL23" s="75"/>
    </row>
    <row r="24" spans="1:38" ht="15.75" hidden="1" thickBot="1" x14ac:dyDescent="0.3">
      <c r="A24" s="75"/>
      <c r="B24" s="75"/>
      <c r="C24" s="35">
        <f>INDEX(Données!$F$2:$L$54,MATCH(F24,Données!$F$2:$F$54,0),2)</f>
        <v>43843</v>
      </c>
      <c r="D24" s="29" t="str">
        <f t="shared" si="0"/>
        <v>#4</v>
      </c>
      <c r="E24" s="7">
        <f>Données!K4</f>
        <v>43847</v>
      </c>
      <c r="F24" s="6" t="str">
        <f>INDEX(Données!$F$2:$L$54,MATCH('#4'!E24,Données!$G$2:$G$54,1),1)</f>
        <v>3</v>
      </c>
      <c r="G24" s="18" t="str">
        <f t="shared" si="1"/>
        <v>PS-4</v>
      </c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1"/>
      <c r="W24" s="75"/>
      <c r="X24" s="75"/>
      <c r="Y24" s="75"/>
      <c r="Z24" s="96">
        <f>SUM(Tableau15[[#This Row],[A-1]:[G-5]])</f>
        <v>0</v>
      </c>
      <c r="AA24" s="96" t="str">
        <f>IF(AND(Z24&gt;0,Tableau15[[#This Row],[CDS]]=""),"Oui","Non")</f>
        <v>Non</v>
      </c>
      <c r="AB24" s="75"/>
      <c r="AC24" s="75"/>
      <c r="AD24" s="75"/>
      <c r="AE24" s="75"/>
      <c r="AF24" s="75"/>
      <c r="AG24" s="75"/>
      <c r="AH24" s="75"/>
      <c r="AI24" s="75"/>
      <c r="AJ24" s="81"/>
      <c r="AK24" s="75"/>
      <c r="AL24" s="75"/>
    </row>
    <row r="25" spans="1:38" ht="15.75" hidden="1" thickBot="1" x14ac:dyDescent="0.3">
      <c r="A25" s="75"/>
      <c r="B25" s="75"/>
      <c r="C25" s="35">
        <f>INDEX(Données!$F$2:$L$54,MATCH(F25,Données!$F$2:$F$54,0),2)</f>
        <v>43843</v>
      </c>
      <c r="D25" s="29" t="str">
        <f t="shared" si="0"/>
        <v>#4</v>
      </c>
      <c r="E25" s="7">
        <f>Données!L4</f>
        <v>43848</v>
      </c>
      <c r="F25" s="6" t="str">
        <f>INDEX(Données!$F$2:$L$54,MATCH('#4'!E25,Données!$G$2:$G$54,1),1)</f>
        <v>3</v>
      </c>
      <c r="G25" s="18" t="str">
        <f t="shared" si="1"/>
        <v>PS-4</v>
      </c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1"/>
      <c r="W25" s="75"/>
      <c r="X25" s="75"/>
      <c r="Y25" s="75"/>
      <c r="Z25" s="96">
        <f>SUM(Tableau15[[#This Row],[A-1]:[G-5]])</f>
        <v>0</v>
      </c>
      <c r="AA25" s="96" t="str">
        <f>IF(AND(Z25&gt;0,Tableau15[[#This Row],[CDS]]=""),"Oui","Non")</f>
        <v>Non</v>
      </c>
      <c r="AB25" s="75"/>
      <c r="AC25" s="75"/>
      <c r="AD25" s="75"/>
      <c r="AE25" s="75"/>
      <c r="AF25" s="75"/>
      <c r="AG25" s="75"/>
      <c r="AH25" s="75"/>
      <c r="AI25" s="75"/>
      <c r="AJ25" s="81"/>
      <c r="AK25" s="75"/>
      <c r="AL25" s="75"/>
    </row>
    <row r="26" spans="1:38" ht="15.75" hidden="1" thickBot="1" x14ac:dyDescent="0.3">
      <c r="A26" s="75"/>
      <c r="B26" s="75"/>
      <c r="C26" s="35">
        <f>INDEX(Données!$F$2:$L$54,MATCH(F26,Données!$F$2:$F$54,0),2)</f>
        <v>43850</v>
      </c>
      <c r="D26" s="29" t="str">
        <f t="shared" si="0"/>
        <v>#4</v>
      </c>
      <c r="E26" s="7">
        <f>Données!G5</f>
        <v>43850</v>
      </c>
      <c r="F26" s="6" t="str">
        <f>INDEX(Données!$F$2:$L$54,MATCH('#4'!E26,Données!$G$2:$G$54,1),1)</f>
        <v>4</v>
      </c>
      <c r="G26" s="18" t="str">
        <f t="shared" si="1"/>
        <v>PS-4</v>
      </c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1"/>
      <c r="W26" s="75"/>
      <c r="X26" s="75"/>
      <c r="Y26" s="75"/>
      <c r="Z26" s="96">
        <f>SUM(Tableau15[[#This Row],[A-1]:[G-5]])</f>
        <v>0</v>
      </c>
      <c r="AA26" s="96" t="str">
        <f>IF(AND(Z26&gt;0,Tableau15[[#This Row],[CDS]]=""),"Oui","Non")</f>
        <v>Non</v>
      </c>
      <c r="AB26" s="75"/>
      <c r="AC26" s="75"/>
      <c r="AD26" s="75"/>
      <c r="AE26" s="75"/>
      <c r="AF26" s="75"/>
      <c r="AG26" s="75"/>
      <c r="AH26" s="75"/>
      <c r="AI26" s="75"/>
      <c r="AJ26" s="81"/>
      <c r="AK26" s="75"/>
      <c r="AL26" s="75"/>
    </row>
    <row r="27" spans="1:38" ht="15.75" hidden="1" thickBot="1" x14ac:dyDescent="0.3">
      <c r="A27" s="75"/>
      <c r="B27" s="75"/>
      <c r="C27" s="35">
        <f>INDEX(Données!$F$2:$L$54,MATCH(F27,Données!$F$2:$F$54,0),2)</f>
        <v>43850</v>
      </c>
      <c r="D27" s="29" t="str">
        <f t="shared" si="0"/>
        <v>#4</v>
      </c>
      <c r="E27" s="7">
        <f>Données!H5</f>
        <v>43851</v>
      </c>
      <c r="F27" s="6" t="str">
        <f>INDEX(Données!$F$2:$L$54,MATCH('#4'!E27,Données!$G$2:$G$54,1),1)</f>
        <v>4</v>
      </c>
      <c r="G27" s="18" t="str">
        <f t="shared" si="1"/>
        <v>PS-4</v>
      </c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1"/>
      <c r="W27" s="75"/>
      <c r="X27" s="75"/>
      <c r="Y27" s="75"/>
      <c r="Z27" s="96">
        <f>SUM(Tableau15[[#This Row],[A-1]:[G-5]])</f>
        <v>0</v>
      </c>
      <c r="AA27" s="96" t="str">
        <f>IF(AND(Z27&gt;0,Tableau15[[#This Row],[CDS]]=""),"Oui","Non")</f>
        <v>Non</v>
      </c>
      <c r="AB27" s="75"/>
      <c r="AC27" s="75"/>
      <c r="AD27" s="75"/>
      <c r="AE27" s="75"/>
      <c r="AF27" s="75"/>
      <c r="AG27" s="75"/>
      <c r="AH27" s="75"/>
      <c r="AI27" s="75"/>
      <c r="AJ27" s="81"/>
      <c r="AK27" s="75"/>
      <c r="AL27" s="75"/>
    </row>
    <row r="28" spans="1:38" ht="15.75" hidden="1" thickBot="1" x14ac:dyDescent="0.3">
      <c r="A28" s="75"/>
      <c r="B28" s="75"/>
      <c r="C28" s="35">
        <f>INDEX(Données!$F$2:$L$54,MATCH(F28,Données!$F$2:$F$54,0),2)</f>
        <v>43850</v>
      </c>
      <c r="D28" s="29" t="str">
        <f t="shared" si="0"/>
        <v>#4</v>
      </c>
      <c r="E28" s="7">
        <f>Données!I5</f>
        <v>43852</v>
      </c>
      <c r="F28" s="6" t="str">
        <f>INDEX(Données!$F$2:$L$54,MATCH('#4'!E28,Données!$G$2:$G$54,1),1)</f>
        <v>4</v>
      </c>
      <c r="G28" s="18" t="str">
        <f t="shared" si="1"/>
        <v>PS-4</v>
      </c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1"/>
      <c r="W28" s="75"/>
      <c r="X28" s="75"/>
      <c r="Y28" s="75"/>
      <c r="Z28" s="96">
        <f>SUM(Tableau15[[#This Row],[A-1]:[G-5]])</f>
        <v>0</v>
      </c>
      <c r="AA28" s="96" t="str">
        <f>IF(AND(Z28&gt;0,Tableau15[[#This Row],[CDS]]=""),"Oui","Non")</f>
        <v>Non</v>
      </c>
      <c r="AB28" s="75"/>
      <c r="AC28" s="75"/>
      <c r="AD28" s="75"/>
      <c r="AE28" s="75"/>
      <c r="AF28" s="75"/>
      <c r="AG28" s="75"/>
      <c r="AH28" s="75"/>
      <c r="AI28" s="75"/>
      <c r="AJ28" s="81"/>
      <c r="AK28" s="75"/>
      <c r="AL28" s="75"/>
    </row>
    <row r="29" spans="1:38" ht="15.75" hidden="1" thickBot="1" x14ac:dyDescent="0.3">
      <c r="A29" s="75"/>
      <c r="B29" s="75"/>
      <c r="C29" s="35">
        <f>INDEX(Données!$F$2:$L$54,MATCH(F29,Données!$F$2:$F$54,0),2)</f>
        <v>43850</v>
      </c>
      <c r="D29" s="29" t="str">
        <f t="shared" si="0"/>
        <v>#4</v>
      </c>
      <c r="E29" s="7">
        <f>Données!J5</f>
        <v>43853</v>
      </c>
      <c r="F29" s="6" t="str">
        <f>INDEX(Données!$F$2:$L$54,MATCH('#4'!E29,Données!$G$2:$G$54,1),1)</f>
        <v>4</v>
      </c>
      <c r="G29" s="18" t="str">
        <f t="shared" si="1"/>
        <v>PS-4</v>
      </c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1"/>
      <c r="W29" s="75"/>
      <c r="X29" s="75"/>
      <c r="Y29" s="75"/>
      <c r="Z29" s="96">
        <f>SUM(Tableau15[[#This Row],[A-1]:[G-5]])</f>
        <v>0</v>
      </c>
      <c r="AA29" s="96" t="str">
        <f>IF(AND(Z29&gt;0,Tableau15[[#This Row],[CDS]]=""),"Oui","Non")</f>
        <v>Non</v>
      </c>
      <c r="AB29" s="75"/>
      <c r="AC29" s="75"/>
      <c r="AD29" s="75"/>
      <c r="AE29" s="75"/>
      <c r="AF29" s="75"/>
      <c r="AG29" s="75"/>
      <c r="AH29" s="75"/>
      <c r="AI29" s="75"/>
      <c r="AJ29" s="81"/>
      <c r="AK29" s="75"/>
      <c r="AL29" s="75"/>
    </row>
    <row r="30" spans="1:38" ht="15.75" hidden="1" thickBot="1" x14ac:dyDescent="0.3">
      <c r="A30" s="75"/>
      <c r="B30" s="75"/>
      <c r="C30" s="35">
        <f>INDEX(Données!$F$2:$L$54,MATCH(F30,Données!$F$2:$F$54,0),2)</f>
        <v>43850</v>
      </c>
      <c r="D30" s="29" t="str">
        <f t="shared" si="0"/>
        <v>#4</v>
      </c>
      <c r="E30" s="7">
        <f>Données!K5</f>
        <v>43854</v>
      </c>
      <c r="F30" s="6" t="str">
        <f>INDEX(Données!$F$2:$L$54,MATCH('#4'!E30,Données!$G$2:$G$54,1),1)</f>
        <v>4</v>
      </c>
      <c r="G30" s="18" t="str">
        <f t="shared" si="1"/>
        <v>PS-4</v>
      </c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1"/>
      <c r="W30" s="75"/>
      <c r="X30" s="75"/>
      <c r="Y30" s="75"/>
      <c r="Z30" s="96">
        <f>SUM(Tableau15[[#This Row],[A-1]:[G-5]])</f>
        <v>0</v>
      </c>
      <c r="AA30" s="96" t="str">
        <f>IF(AND(Z30&gt;0,Tableau15[[#This Row],[CDS]]=""),"Oui","Non")</f>
        <v>Non</v>
      </c>
      <c r="AB30" s="75"/>
      <c r="AC30" s="75"/>
      <c r="AD30" s="75"/>
      <c r="AE30" s="75"/>
      <c r="AF30" s="75"/>
      <c r="AG30" s="75"/>
      <c r="AH30" s="75"/>
      <c r="AI30" s="75"/>
      <c r="AJ30" s="81"/>
      <c r="AK30" s="75"/>
      <c r="AL30" s="75"/>
    </row>
    <row r="31" spans="1:38" ht="15.75" hidden="1" thickBot="1" x14ac:dyDescent="0.3">
      <c r="A31" s="75"/>
      <c r="B31" s="75"/>
      <c r="C31" s="35">
        <f>INDEX(Données!$F$2:$L$54,MATCH(F31,Données!$F$2:$F$54,0),2)</f>
        <v>43850</v>
      </c>
      <c r="D31" s="29" t="str">
        <f t="shared" si="0"/>
        <v>#4</v>
      </c>
      <c r="E31" s="7">
        <f>Données!L5</f>
        <v>43855</v>
      </c>
      <c r="F31" s="6" t="str">
        <f>INDEX(Données!$F$2:$L$54,MATCH('#4'!E31,Données!$G$2:$G$54,1),1)</f>
        <v>4</v>
      </c>
      <c r="G31" s="18" t="str">
        <f t="shared" si="1"/>
        <v>PS-4</v>
      </c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1"/>
      <c r="W31" s="75"/>
      <c r="X31" s="75"/>
      <c r="Y31" s="75"/>
      <c r="Z31" s="96">
        <f>SUM(Tableau15[[#This Row],[A-1]:[G-5]])</f>
        <v>0</v>
      </c>
      <c r="AA31" s="96" t="str">
        <f>IF(AND(Z31&gt;0,Tableau15[[#This Row],[CDS]]=""),"Oui","Non")</f>
        <v>Non</v>
      </c>
      <c r="AB31" s="75"/>
      <c r="AC31" s="75"/>
      <c r="AD31" s="75"/>
      <c r="AE31" s="75"/>
      <c r="AF31" s="75"/>
      <c r="AG31" s="75"/>
      <c r="AH31" s="75"/>
      <c r="AI31" s="75"/>
      <c r="AJ31" s="81"/>
      <c r="AK31" s="75"/>
      <c r="AL31" s="75"/>
    </row>
    <row r="32" spans="1:38" ht="15.75" hidden="1" thickBot="1" x14ac:dyDescent="0.3">
      <c r="A32" s="75"/>
      <c r="B32" s="75"/>
      <c r="C32" s="35">
        <f>INDEX(Données!$F$2:$L$54,MATCH(F32,Données!$F$2:$F$54,0),2)</f>
        <v>43857</v>
      </c>
      <c r="D32" s="29" t="str">
        <f t="shared" si="0"/>
        <v>#4</v>
      </c>
      <c r="E32" s="7">
        <f>Données!G6</f>
        <v>43857</v>
      </c>
      <c r="F32" s="6" t="str">
        <f>INDEX(Données!$F$2:$L$54,MATCH('#4'!E32,Données!$G$2:$G$54,1),1)</f>
        <v>5</v>
      </c>
      <c r="G32" s="18" t="str">
        <f t="shared" si="1"/>
        <v>PS-4</v>
      </c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1"/>
      <c r="W32" s="75"/>
      <c r="X32" s="75"/>
      <c r="Y32" s="75"/>
      <c r="Z32" s="96">
        <f>SUM(Tableau15[[#This Row],[A-1]:[G-5]])</f>
        <v>0</v>
      </c>
      <c r="AA32" s="96" t="str">
        <f>IF(AND(Z32&gt;0,Tableau15[[#This Row],[CDS]]=""),"Oui","Non")</f>
        <v>Non</v>
      </c>
      <c r="AB32" s="75"/>
      <c r="AC32" s="75"/>
      <c r="AD32" s="75"/>
      <c r="AE32" s="75"/>
      <c r="AF32" s="75"/>
      <c r="AG32" s="75"/>
      <c r="AH32" s="75"/>
      <c r="AI32" s="75"/>
      <c r="AJ32" s="81"/>
      <c r="AK32" s="75"/>
      <c r="AL32" s="75"/>
    </row>
    <row r="33" spans="1:38" ht="15.75" hidden="1" thickBot="1" x14ac:dyDescent="0.3">
      <c r="A33" s="75"/>
      <c r="B33" s="75"/>
      <c r="C33" s="35">
        <f>INDEX(Données!$F$2:$L$54,MATCH(F33,Données!$F$2:$F$54,0),2)</f>
        <v>43857</v>
      </c>
      <c r="D33" s="29" t="str">
        <f t="shared" si="0"/>
        <v>#4</v>
      </c>
      <c r="E33" s="7">
        <f>Données!H6</f>
        <v>43858</v>
      </c>
      <c r="F33" s="6" t="str">
        <f>INDEX(Données!$F$2:$L$54,MATCH('#4'!E33,Données!$G$2:$G$54,1),1)</f>
        <v>5</v>
      </c>
      <c r="G33" s="18" t="str">
        <f t="shared" si="1"/>
        <v>PS-4</v>
      </c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1"/>
      <c r="W33" s="75"/>
      <c r="X33" s="75"/>
      <c r="Y33" s="75"/>
      <c r="Z33" s="96">
        <f>SUM(Tableau15[[#This Row],[A-1]:[G-5]])</f>
        <v>0</v>
      </c>
      <c r="AA33" s="96" t="str">
        <f>IF(AND(Z33&gt;0,Tableau15[[#This Row],[CDS]]=""),"Oui","Non")</f>
        <v>Non</v>
      </c>
      <c r="AB33" s="75"/>
      <c r="AC33" s="75"/>
      <c r="AD33" s="75"/>
      <c r="AE33" s="75"/>
      <c r="AF33" s="75"/>
      <c r="AG33" s="75"/>
      <c r="AH33" s="75"/>
      <c r="AI33" s="75"/>
      <c r="AJ33" s="81"/>
      <c r="AK33" s="75"/>
      <c r="AL33" s="75"/>
    </row>
    <row r="34" spans="1:38" ht="15.75" hidden="1" thickBot="1" x14ac:dyDescent="0.3">
      <c r="A34" s="75"/>
      <c r="B34" s="75"/>
      <c r="C34" s="35">
        <f>INDEX(Données!$F$2:$L$54,MATCH(F34,Données!$F$2:$F$54,0),2)</f>
        <v>43857</v>
      </c>
      <c r="D34" s="29" t="str">
        <f t="shared" si="0"/>
        <v>#4</v>
      </c>
      <c r="E34" s="7">
        <f>Données!I6</f>
        <v>43859</v>
      </c>
      <c r="F34" s="6" t="str">
        <f>INDEX(Données!$F$2:$L$54,MATCH('#4'!E34,Données!$G$2:$G$54,1),1)</f>
        <v>5</v>
      </c>
      <c r="G34" s="18" t="str">
        <f t="shared" si="1"/>
        <v>PS-4</v>
      </c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1"/>
      <c r="W34" s="75"/>
      <c r="X34" s="75"/>
      <c r="Y34" s="75"/>
      <c r="Z34" s="96">
        <f>SUM(Tableau15[[#This Row],[A-1]:[G-5]])</f>
        <v>0</v>
      </c>
      <c r="AA34" s="96" t="str">
        <f>IF(AND(Z34&gt;0,Tableau15[[#This Row],[CDS]]=""),"Oui","Non")</f>
        <v>Non</v>
      </c>
      <c r="AB34" s="75"/>
      <c r="AC34" s="75"/>
      <c r="AD34" s="75"/>
      <c r="AE34" s="75"/>
      <c r="AF34" s="75"/>
      <c r="AG34" s="75"/>
      <c r="AH34" s="75"/>
      <c r="AI34" s="75"/>
      <c r="AJ34" s="81"/>
      <c r="AK34" s="75"/>
      <c r="AL34" s="75"/>
    </row>
    <row r="35" spans="1:38" ht="15.75" hidden="1" thickBot="1" x14ac:dyDescent="0.3">
      <c r="A35" s="75"/>
      <c r="B35" s="75"/>
      <c r="C35" s="35">
        <f>INDEX(Données!$F$2:$L$54,MATCH(F35,Données!$F$2:$F$54,0),2)</f>
        <v>43857</v>
      </c>
      <c r="D35" s="29" t="str">
        <f t="shared" si="0"/>
        <v>#4</v>
      </c>
      <c r="E35" s="7">
        <f>Données!J6</f>
        <v>43860</v>
      </c>
      <c r="F35" s="6" t="str">
        <f>INDEX(Données!$F$2:$L$54,MATCH('#4'!E35,Données!$G$2:$G$54,1),1)</f>
        <v>5</v>
      </c>
      <c r="G35" s="18" t="str">
        <f t="shared" si="1"/>
        <v>PS-4</v>
      </c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1"/>
      <c r="W35" s="75"/>
      <c r="X35" s="75"/>
      <c r="Y35" s="75"/>
      <c r="Z35" s="96">
        <f>SUM(Tableau15[[#This Row],[A-1]:[G-5]])</f>
        <v>0</v>
      </c>
      <c r="AA35" s="96" t="str">
        <f>IF(AND(Z35&gt;0,Tableau15[[#This Row],[CDS]]=""),"Oui","Non")</f>
        <v>Non</v>
      </c>
      <c r="AB35" s="75"/>
      <c r="AC35" s="75"/>
      <c r="AD35" s="75"/>
      <c r="AE35" s="75"/>
      <c r="AF35" s="75"/>
      <c r="AG35" s="75"/>
      <c r="AH35" s="75"/>
      <c r="AI35" s="75"/>
      <c r="AJ35" s="81"/>
      <c r="AK35" s="75"/>
      <c r="AL35" s="75"/>
    </row>
    <row r="36" spans="1:38" ht="15.75" hidden="1" thickBot="1" x14ac:dyDescent="0.3">
      <c r="A36" s="75"/>
      <c r="B36" s="75"/>
      <c r="C36" s="35">
        <f>INDEX(Données!$F$2:$L$54,MATCH(F36,Données!$F$2:$F$54,0),2)</f>
        <v>43857</v>
      </c>
      <c r="D36" s="29" t="str">
        <f t="shared" si="0"/>
        <v>#4</v>
      </c>
      <c r="E36" s="7">
        <f>Données!K6</f>
        <v>43861</v>
      </c>
      <c r="F36" s="6" t="str">
        <f>INDEX(Données!$F$2:$L$54,MATCH('#4'!E36,Données!$G$2:$G$54,1),1)</f>
        <v>5</v>
      </c>
      <c r="G36" s="18" t="str">
        <f t="shared" si="1"/>
        <v>PS-4</v>
      </c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1"/>
      <c r="W36" s="75"/>
      <c r="X36" s="75"/>
      <c r="Y36" s="75"/>
      <c r="Z36" s="96">
        <f>SUM(Tableau15[[#This Row],[A-1]:[G-5]])</f>
        <v>0</v>
      </c>
      <c r="AA36" s="96" t="str">
        <f>IF(AND(Z36&gt;0,Tableau15[[#This Row],[CDS]]=""),"Oui","Non")</f>
        <v>Non</v>
      </c>
      <c r="AB36" s="75"/>
      <c r="AC36" s="75"/>
      <c r="AD36" s="75"/>
      <c r="AE36" s="75"/>
      <c r="AF36" s="75"/>
      <c r="AG36" s="75"/>
      <c r="AH36" s="75"/>
      <c r="AI36" s="75"/>
      <c r="AJ36" s="81"/>
      <c r="AK36" s="75"/>
      <c r="AL36" s="75"/>
    </row>
    <row r="37" spans="1:38" ht="15.75" hidden="1" thickBot="1" x14ac:dyDescent="0.3">
      <c r="A37" s="75"/>
      <c r="B37" s="75"/>
      <c r="C37" s="35">
        <f>INDEX(Données!$F$2:$L$54,MATCH(F37,Données!$F$2:$F$54,0),2)</f>
        <v>43857</v>
      </c>
      <c r="D37" s="29" t="str">
        <f t="shared" si="0"/>
        <v>#4</v>
      </c>
      <c r="E37" s="7">
        <f>Données!L6</f>
        <v>43862</v>
      </c>
      <c r="F37" s="6" t="str">
        <f>INDEX(Données!$F$2:$L$54,MATCH('#4'!E37,Données!$G$2:$G$54,1),1)</f>
        <v>5</v>
      </c>
      <c r="G37" s="18" t="str">
        <f t="shared" si="1"/>
        <v>PS-4</v>
      </c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1"/>
      <c r="W37" s="75"/>
      <c r="X37" s="75"/>
      <c r="Y37" s="75"/>
      <c r="Z37" s="96">
        <f>SUM(Tableau15[[#This Row],[A-1]:[G-5]])</f>
        <v>0</v>
      </c>
      <c r="AA37" s="96" t="str">
        <f>IF(AND(Z37&gt;0,Tableau15[[#This Row],[CDS]]=""),"Oui","Non")</f>
        <v>Non</v>
      </c>
      <c r="AB37" s="75"/>
      <c r="AC37" s="75"/>
      <c r="AD37" s="75"/>
      <c r="AE37" s="75"/>
      <c r="AF37" s="75"/>
      <c r="AG37" s="75"/>
      <c r="AH37" s="75"/>
      <c r="AI37" s="75"/>
      <c r="AJ37" s="81"/>
      <c r="AK37" s="75"/>
      <c r="AL37" s="75"/>
    </row>
    <row r="38" spans="1:38" ht="15.75" hidden="1" thickBot="1" x14ac:dyDescent="0.3">
      <c r="A38" s="75"/>
      <c r="B38" s="75"/>
      <c r="C38" s="35">
        <f>INDEX(Données!$F$2:$L$54,MATCH(F38,Données!$F$2:$F$54,0),2)</f>
        <v>43864</v>
      </c>
      <c r="D38" s="29" t="str">
        <f t="shared" si="0"/>
        <v>#4</v>
      </c>
      <c r="E38" s="7">
        <f>Données!G7</f>
        <v>43864</v>
      </c>
      <c r="F38" s="6" t="str">
        <f>INDEX(Données!$F$2:$L$54,MATCH('#4'!E38,Données!$G$2:$G$54,1),1)</f>
        <v>6</v>
      </c>
      <c r="G38" s="18" t="str">
        <f t="shared" si="1"/>
        <v>PS-4</v>
      </c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1"/>
      <c r="W38" s="75"/>
      <c r="X38" s="75"/>
      <c r="Y38" s="75"/>
      <c r="Z38" s="96">
        <f>SUM(Tableau15[[#This Row],[A-1]:[G-5]])</f>
        <v>0</v>
      </c>
      <c r="AA38" s="96" t="str">
        <f>IF(AND(Z38&gt;0,Tableau15[[#This Row],[CDS]]=""),"Oui","Non")</f>
        <v>Non</v>
      </c>
      <c r="AB38" s="75"/>
      <c r="AC38" s="75"/>
      <c r="AD38" s="75"/>
      <c r="AE38" s="75"/>
      <c r="AF38" s="75"/>
      <c r="AG38" s="75"/>
      <c r="AH38" s="75"/>
      <c r="AI38" s="75"/>
      <c r="AJ38" s="81"/>
      <c r="AK38" s="75"/>
      <c r="AL38" s="75"/>
    </row>
    <row r="39" spans="1:38" ht="15.75" hidden="1" thickBot="1" x14ac:dyDescent="0.3">
      <c r="A39" s="75"/>
      <c r="B39" s="75"/>
      <c r="C39" s="35">
        <f>INDEX(Données!$F$2:$L$54,MATCH(F39,Données!$F$2:$F$54,0),2)</f>
        <v>43864</v>
      </c>
      <c r="D39" s="29" t="str">
        <f t="shared" si="0"/>
        <v>#4</v>
      </c>
      <c r="E39" s="7">
        <f>Données!H7</f>
        <v>43865</v>
      </c>
      <c r="F39" s="6" t="str">
        <f>INDEX(Données!$F$2:$L$54,MATCH('#4'!E39,Données!$G$2:$G$54,1),1)</f>
        <v>6</v>
      </c>
      <c r="G39" s="18" t="str">
        <f t="shared" si="1"/>
        <v>PS-4</v>
      </c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1"/>
      <c r="W39" s="75"/>
      <c r="X39" s="75"/>
      <c r="Y39" s="75"/>
      <c r="Z39" s="96">
        <f>SUM(Tableau15[[#This Row],[A-1]:[G-5]])</f>
        <v>0</v>
      </c>
      <c r="AA39" s="96" t="str">
        <f>IF(AND(Z39&gt;0,Tableau15[[#This Row],[CDS]]=""),"Oui","Non")</f>
        <v>Non</v>
      </c>
      <c r="AB39" s="75"/>
      <c r="AC39" s="75"/>
      <c r="AD39" s="75"/>
      <c r="AE39" s="75"/>
      <c r="AF39" s="75"/>
      <c r="AG39" s="75"/>
      <c r="AH39" s="75"/>
      <c r="AI39" s="75"/>
      <c r="AJ39" s="81"/>
      <c r="AK39" s="75"/>
      <c r="AL39" s="75"/>
    </row>
    <row r="40" spans="1:38" ht="15.75" hidden="1" thickBot="1" x14ac:dyDescent="0.3">
      <c r="A40" s="75"/>
      <c r="B40" s="75"/>
      <c r="C40" s="35">
        <f>INDEX(Données!$F$2:$L$54,MATCH(F40,Données!$F$2:$F$54,0),2)</f>
        <v>43864</v>
      </c>
      <c r="D40" s="29" t="str">
        <f t="shared" si="0"/>
        <v>#4</v>
      </c>
      <c r="E40" s="7">
        <f>Données!I7</f>
        <v>43866</v>
      </c>
      <c r="F40" s="6" t="str">
        <f>INDEX(Données!$F$2:$L$54,MATCH('#4'!E40,Données!$G$2:$G$54,1),1)</f>
        <v>6</v>
      </c>
      <c r="G40" s="18" t="str">
        <f t="shared" si="1"/>
        <v>PS-4</v>
      </c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1"/>
      <c r="W40" s="75"/>
      <c r="X40" s="75"/>
      <c r="Y40" s="75"/>
      <c r="Z40" s="96">
        <f>SUM(Tableau15[[#This Row],[A-1]:[G-5]])</f>
        <v>0</v>
      </c>
      <c r="AA40" s="96" t="str">
        <f>IF(AND(Z40&gt;0,Tableau15[[#This Row],[CDS]]=""),"Oui","Non")</f>
        <v>Non</v>
      </c>
      <c r="AB40" s="75"/>
      <c r="AC40" s="75"/>
      <c r="AD40" s="75"/>
      <c r="AE40" s="75"/>
      <c r="AF40" s="75"/>
      <c r="AG40" s="75"/>
      <c r="AH40" s="75"/>
      <c r="AI40" s="75"/>
      <c r="AJ40" s="81"/>
      <c r="AK40" s="75"/>
      <c r="AL40" s="75"/>
    </row>
    <row r="41" spans="1:38" ht="15.75" hidden="1" thickBot="1" x14ac:dyDescent="0.3">
      <c r="A41" s="75"/>
      <c r="B41" s="75"/>
      <c r="C41" s="35">
        <f>INDEX(Données!$F$2:$L$54,MATCH(F41,Données!$F$2:$F$54,0),2)</f>
        <v>43864</v>
      </c>
      <c r="D41" s="29" t="str">
        <f t="shared" si="0"/>
        <v>#4</v>
      </c>
      <c r="E41" s="7">
        <f>Données!J7</f>
        <v>43867</v>
      </c>
      <c r="F41" s="6" t="str">
        <f>INDEX(Données!$F$2:$L$54,MATCH('#4'!E41,Données!$G$2:$G$54,1),1)</f>
        <v>6</v>
      </c>
      <c r="G41" s="18" t="str">
        <f t="shared" si="1"/>
        <v>PS-4</v>
      </c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1"/>
      <c r="W41" s="75"/>
      <c r="X41" s="75"/>
      <c r="Y41" s="75"/>
      <c r="Z41" s="96">
        <f>SUM(Tableau15[[#This Row],[A-1]:[G-5]])</f>
        <v>0</v>
      </c>
      <c r="AA41" s="96" t="str">
        <f>IF(AND(Z41&gt;0,Tableau15[[#This Row],[CDS]]=""),"Oui","Non")</f>
        <v>Non</v>
      </c>
      <c r="AB41" s="75"/>
      <c r="AC41" s="75"/>
      <c r="AD41" s="75"/>
      <c r="AE41" s="75"/>
      <c r="AF41" s="75"/>
      <c r="AG41" s="75"/>
      <c r="AH41" s="75"/>
      <c r="AI41" s="75"/>
      <c r="AJ41" s="81"/>
      <c r="AK41" s="75"/>
      <c r="AL41" s="75"/>
    </row>
    <row r="42" spans="1:38" ht="15.75" hidden="1" thickBot="1" x14ac:dyDescent="0.3">
      <c r="A42" s="75"/>
      <c r="B42" s="75"/>
      <c r="C42" s="35">
        <f>INDEX(Données!$F$2:$L$54,MATCH(F42,Données!$F$2:$F$54,0),2)</f>
        <v>43864</v>
      </c>
      <c r="D42" s="29" t="str">
        <f t="shared" si="0"/>
        <v>#4</v>
      </c>
      <c r="E42" s="7">
        <f>Données!K7</f>
        <v>43868</v>
      </c>
      <c r="F42" s="6" t="str">
        <f>INDEX(Données!$F$2:$L$54,MATCH('#4'!E42,Données!$G$2:$G$54,1),1)</f>
        <v>6</v>
      </c>
      <c r="G42" s="18" t="str">
        <f t="shared" si="1"/>
        <v>PS-4</v>
      </c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1"/>
      <c r="W42" s="75"/>
      <c r="X42" s="75"/>
      <c r="Y42" s="75"/>
      <c r="Z42" s="96">
        <f>SUM(Tableau15[[#This Row],[A-1]:[G-5]])</f>
        <v>0</v>
      </c>
      <c r="AA42" s="96" t="str">
        <f>IF(AND(Z42&gt;0,Tableau15[[#This Row],[CDS]]=""),"Oui","Non")</f>
        <v>Non</v>
      </c>
      <c r="AB42" s="75"/>
      <c r="AC42" s="75"/>
      <c r="AD42" s="75"/>
      <c r="AE42" s="75"/>
      <c r="AF42" s="75"/>
      <c r="AG42" s="75"/>
      <c r="AH42" s="75"/>
      <c r="AI42" s="75"/>
      <c r="AJ42" s="81"/>
      <c r="AK42" s="75"/>
      <c r="AL42" s="75"/>
    </row>
    <row r="43" spans="1:38" ht="15.75" hidden="1" thickBot="1" x14ac:dyDescent="0.3">
      <c r="A43" s="75"/>
      <c r="B43" s="75"/>
      <c r="C43" s="35">
        <f>INDEX(Données!$F$2:$L$54,MATCH(F43,Données!$F$2:$F$54,0),2)</f>
        <v>43864</v>
      </c>
      <c r="D43" s="29" t="str">
        <f t="shared" si="0"/>
        <v>#4</v>
      </c>
      <c r="E43" s="7">
        <f>Données!L7</f>
        <v>43869</v>
      </c>
      <c r="F43" s="6" t="str">
        <f>INDEX(Données!$F$2:$L$54,MATCH('#4'!E43,Données!$G$2:$G$54,1),1)</f>
        <v>6</v>
      </c>
      <c r="G43" s="18" t="str">
        <f t="shared" si="1"/>
        <v>PS-4</v>
      </c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1"/>
      <c r="W43" s="75"/>
      <c r="X43" s="75"/>
      <c r="Y43" s="75"/>
      <c r="Z43" s="96">
        <f>SUM(Tableau15[[#This Row],[A-1]:[G-5]])</f>
        <v>0</v>
      </c>
      <c r="AA43" s="96" t="str">
        <f>IF(AND(Z43&gt;0,Tableau15[[#This Row],[CDS]]=""),"Oui","Non")</f>
        <v>Non</v>
      </c>
      <c r="AB43" s="75"/>
      <c r="AC43" s="75"/>
      <c r="AD43" s="75"/>
      <c r="AE43" s="75"/>
      <c r="AF43" s="75"/>
      <c r="AG43" s="75"/>
      <c r="AH43" s="75"/>
      <c r="AI43" s="75"/>
      <c r="AJ43" s="81"/>
      <c r="AK43" s="75"/>
      <c r="AL43" s="75"/>
    </row>
    <row r="44" spans="1:38" ht="15.75" hidden="1" thickBot="1" x14ac:dyDescent="0.3">
      <c r="A44" s="75"/>
      <c r="B44" s="75"/>
      <c r="C44" s="35">
        <f>INDEX(Données!$F$2:$L$54,MATCH(F44,Données!$F$2:$F$54,0),2)</f>
        <v>43871</v>
      </c>
      <c r="D44" s="29" t="str">
        <f t="shared" si="0"/>
        <v>#4</v>
      </c>
      <c r="E44" s="7">
        <f>Données!G8</f>
        <v>43871</v>
      </c>
      <c r="F44" s="6" t="str">
        <f>INDEX(Données!$F$2:$L$54,MATCH('#4'!E44,Données!$G$2:$G$54,1),1)</f>
        <v>7</v>
      </c>
      <c r="G44" s="18" t="str">
        <f t="shared" si="1"/>
        <v>PS-4</v>
      </c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1"/>
      <c r="W44" s="75"/>
      <c r="X44" s="75"/>
      <c r="Y44" s="75"/>
      <c r="Z44" s="96">
        <f>SUM(Tableau15[[#This Row],[A-1]:[G-5]])</f>
        <v>0</v>
      </c>
      <c r="AA44" s="96" t="str">
        <f>IF(AND(Z44&gt;0,Tableau15[[#This Row],[CDS]]=""),"Oui","Non")</f>
        <v>Non</v>
      </c>
      <c r="AB44" s="75"/>
      <c r="AC44" s="75"/>
      <c r="AD44" s="75"/>
      <c r="AE44" s="75"/>
      <c r="AF44" s="75"/>
      <c r="AG44" s="75"/>
      <c r="AH44" s="75"/>
      <c r="AI44" s="75"/>
      <c r="AJ44" s="81"/>
      <c r="AK44" s="75"/>
      <c r="AL44" s="75"/>
    </row>
    <row r="45" spans="1:38" ht="15.75" hidden="1" thickBot="1" x14ac:dyDescent="0.3">
      <c r="A45" s="75"/>
      <c r="B45" s="75"/>
      <c r="C45" s="35">
        <f>INDEX(Données!$F$2:$L$54,MATCH(F45,Données!$F$2:$F$54,0),2)</f>
        <v>43871</v>
      </c>
      <c r="D45" s="29" t="str">
        <f t="shared" si="0"/>
        <v>#4</v>
      </c>
      <c r="E45" s="7">
        <f>Données!H8</f>
        <v>43872</v>
      </c>
      <c r="F45" s="6" t="str">
        <f>INDEX(Données!$F$2:$L$54,MATCH('#4'!E45,Données!$G$2:$G$54,1),1)</f>
        <v>7</v>
      </c>
      <c r="G45" s="18" t="str">
        <f t="shared" si="1"/>
        <v>PS-4</v>
      </c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1"/>
      <c r="W45" s="75"/>
      <c r="X45" s="75"/>
      <c r="Y45" s="75"/>
      <c r="Z45" s="96">
        <f>SUM(Tableau15[[#This Row],[A-1]:[G-5]])</f>
        <v>0</v>
      </c>
      <c r="AA45" s="96" t="str">
        <f>IF(AND(Z45&gt;0,Tableau15[[#This Row],[CDS]]=""),"Oui","Non")</f>
        <v>Non</v>
      </c>
      <c r="AB45" s="75"/>
      <c r="AC45" s="75"/>
      <c r="AD45" s="75"/>
      <c r="AE45" s="75"/>
      <c r="AF45" s="75"/>
      <c r="AG45" s="75"/>
      <c r="AH45" s="75"/>
      <c r="AI45" s="75"/>
      <c r="AJ45" s="81"/>
      <c r="AK45" s="75"/>
      <c r="AL45" s="75"/>
    </row>
    <row r="46" spans="1:38" ht="15.75" hidden="1" thickBot="1" x14ac:dyDescent="0.3">
      <c r="A46" s="75"/>
      <c r="B46" s="75"/>
      <c r="C46" s="35">
        <f>INDEX(Données!$F$2:$L$54,MATCH(F46,Données!$F$2:$F$54,0),2)</f>
        <v>43871</v>
      </c>
      <c r="D46" s="29" t="str">
        <f t="shared" si="0"/>
        <v>#4</v>
      </c>
      <c r="E46" s="7">
        <f>Données!I8</f>
        <v>43873</v>
      </c>
      <c r="F46" s="6" t="str">
        <f>INDEX(Données!$F$2:$L$54,MATCH('#4'!E46,Données!$G$2:$G$54,1),1)</f>
        <v>7</v>
      </c>
      <c r="G46" s="18" t="str">
        <f t="shared" si="1"/>
        <v>PS-4</v>
      </c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1"/>
      <c r="W46" s="75"/>
      <c r="X46" s="75"/>
      <c r="Y46" s="75"/>
      <c r="Z46" s="96">
        <f>SUM(Tableau15[[#This Row],[A-1]:[G-5]])</f>
        <v>0</v>
      </c>
      <c r="AA46" s="96" t="str">
        <f>IF(AND(Z46&gt;0,Tableau15[[#This Row],[CDS]]=""),"Oui","Non")</f>
        <v>Non</v>
      </c>
      <c r="AB46" s="75"/>
      <c r="AC46" s="75"/>
      <c r="AD46" s="75"/>
      <c r="AE46" s="75"/>
      <c r="AF46" s="75"/>
      <c r="AG46" s="75"/>
      <c r="AH46" s="75"/>
      <c r="AI46" s="75"/>
      <c r="AJ46" s="81"/>
      <c r="AK46" s="75"/>
      <c r="AL46" s="75"/>
    </row>
    <row r="47" spans="1:38" ht="15.75" hidden="1" thickBot="1" x14ac:dyDescent="0.3">
      <c r="A47" s="75"/>
      <c r="B47" s="75"/>
      <c r="C47" s="35">
        <f>INDEX(Données!$F$2:$L$54,MATCH(F47,Données!$F$2:$F$54,0),2)</f>
        <v>43871</v>
      </c>
      <c r="D47" s="29" t="str">
        <f t="shared" si="0"/>
        <v>#4</v>
      </c>
      <c r="E47" s="7">
        <f>Données!J8</f>
        <v>43874</v>
      </c>
      <c r="F47" s="6" t="str">
        <f>INDEX(Données!$F$2:$L$54,MATCH('#4'!E47,Données!$G$2:$G$54,1),1)</f>
        <v>7</v>
      </c>
      <c r="G47" s="18" t="str">
        <f t="shared" si="1"/>
        <v>PS-4</v>
      </c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1"/>
      <c r="W47" s="75"/>
      <c r="X47" s="75"/>
      <c r="Y47" s="75"/>
      <c r="Z47" s="96">
        <f>SUM(Tableau15[[#This Row],[A-1]:[G-5]])</f>
        <v>0</v>
      </c>
      <c r="AA47" s="96" t="str">
        <f>IF(AND(Z47&gt;0,Tableau15[[#This Row],[CDS]]=""),"Oui","Non")</f>
        <v>Non</v>
      </c>
      <c r="AB47" s="75"/>
      <c r="AC47" s="75"/>
      <c r="AD47" s="75"/>
      <c r="AE47" s="75"/>
      <c r="AF47" s="75"/>
      <c r="AG47" s="75"/>
      <c r="AH47" s="75"/>
      <c r="AI47" s="75"/>
      <c r="AJ47" s="81"/>
      <c r="AK47" s="75"/>
      <c r="AL47" s="75"/>
    </row>
    <row r="48" spans="1:38" ht="15.75" hidden="1" thickBot="1" x14ac:dyDescent="0.3">
      <c r="A48" s="75"/>
      <c r="B48" s="75"/>
      <c r="C48" s="35">
        <f>INDEX(Données!$F$2:$L$54,MATCH(F48,Données!$F$2:$F$54,0),2)</f>
        <v>43871</v>
      </c>
      <c r="D48" s="29" t="str">
        <f t="shared" si="0"/>
        <v>#4</v>
      </c>
      <c r="E48" s="7">
        <f>Données!K8</f>
        <v>43875</v>
      </c>
      <c r="F48" s="6" t="str">
        <f>INDEX(Données!$F$2:$L$54,MATCH('#4'!E48,Données!$G$2:$G$54,1),1)</f>
        <v>7</v>
      </c>
      <c r="G48" s="18" t="str">
        <f t="shared" si="1"/>
        <v>PS-4</v>
      </c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1"/>
      <c r="W48" s="75"/>
      <c r="X48" s="75"/>
      <c r="Y48" s="75"/>
      <c r="Z48" s="96">
        <f>SUM(Tableau15[[#This Row],[A-1]:[G-5]])</f>
        <v>0</v>
      </c>
      <c r="AA48" s="96" t="str">
        <f>IF(AND(Z48&gt;0,Tableau15[[#This Row],[CDS]]=""),"Oui","Non")</f>
        <v>Non</v>
      </c>
      <c r="AB48" s="75"/>
      <c r="AC48" s="75"/>
      <c r="AD48" s="75"/>
      <c r="AE48" s="75"/>
      <c r="AF48" s="75"/>
      <c r="AG48" s="75"/>
      <c r="AH48" s="75"/>
      <c r="AI48" s="75"/>
      <c r="AJ48" s="81"/>
      <c r="AK48" s="75"/>
      <c r="AL48" s="75"/>
    </row>
    <row r="49" spans="1:38" ht="15.75" hidden="1" thickBot="1" x14ac:dyDescent="0.3">
      <c r="A49" s="75"/>
      <c r="B49" s="75"/>
      <c r="C49" s="35">
        <f>INDEX(Données!$F$2:$L$54,MATCH(F49,Données!$F$2:$F$54,0),2)</f>
        <v>43871</v>
      </c>
      <c r="D49" s="29" t="str">
        <f t="shared" si="0"/>
        <v>#4</v>
      </c>
      <c r="E49" s="7">
        <f>Données!L8</f>
        <v>43876</v>
      </c>
      <c r="F49" s="6" t="str">
        <f>INDEX(Données!$F$2:$L$54,MATCH('#4'!E49,Données!$G$2:$G$54,1),1)</f>
        <v>7</v>
      </c>
      <c r="G49" s="18" t="str">
        <f t="shared" si="1"/>
        <v>PS-4</v>
      </c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1"/>
      <c r="W49" s="75"/>
      <c r="X49" s="75"/>
      <c r="Y49" s="75"/>
      <c r="Z49" s="96">
        <f>SUM(Tableau15[[#This Row],[A-1]:[G-5]])</f>
        <v>0</v>
      </c>
      <c r="AA49" s="96" t="str">
        <f>IF(AND(Z49&gt;0,Tableau15[[#This Row],[CDS]]=""),"Oui","Non")</f>
        <v>Non</v>
      </c>
      <c r="AB49" s="75"/>
      <c r="AC49" s="75"/>
      <c r="AD49" s="75"/>
      <c r="AE49" s="75"/>
      <c r="AF49" s="75"/>
      <c r="AG49" s="75"/>
      <c r="AH49" s="75"/>
      <c r="AI49" s="75"/>
      <c r="AJ49" s="81"/>
      <c r="AK49" s="75"/>
      <c r="AL49" s="75"/>
    </row>
    <row r="50" spans="1:38" ht="15.75" hidden="1" thickBot="1" x14ac:dyDescent="0.3">
      <c r="A50" s="75"/>
      <c r="B50" s="75"/>
      <c r="C50" s="35">
        <f>INDEX(Données!$F$2:$L$54,MATCH(F50,Données!$F$2:$F$54,0),2)</f>
        <v>43878</v>
      </c>
      <c r="D50" s="29" t="str">
        <f t="shared" si="0"/>
        <v>#4</v>
      </c>
      <c r="E50" s="7">
        <f>Données!G9</f>
        <v>43878</v>
      </c>
      <c r="F50" s="6" t="str">
        <f>INDEX(Données!$F$2:$L$54,MATCH('#4'!E50,Données!$G$2:$G$54,1),1)</f>
        <v>8</v>
      </c>
      <c r="G50" s="18" t="str">
        <f t="shared" si="1"/>
        <v>PS-4</v>
      </c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1"/>
      <c r="W50" s="75"/>
      <c r="X50" s="75"/>
      <c r="Y50" s="75"/>
      <c r="Z50" s="96">
        <f>SUM(Tableau15[[#This Row],[A-1]:[G-5]])</f>
        <v>0</v>
      </c>
      <c r="AA50" s="96" t="str">
        <f>IF(AND(Z50&gt;0,Tableau15[[#This Row],[CDS]]=""),"Oui","Non")</f>
        <v>Non</v>
      </c>
      <c r="AB50" s="75"/>
      <c r="AC50" s="75"/>
      <c r="AD50" s="75"/>
      <c r="AE50" s="75"/>
      <c r="AF50" s="75"/>
      <c r="AG50" s="75"/>
      <c r="AH50" s="75"/>
      <c r="AI50" s="75"/>
      <c r="AJ50" s="81"/>
      <c r="AK50" s="75"/>
      <c r="AL50" s="75"/>
    </row>
    <row r="51" spans="1:38" ht="15.75" hidden="1" thickBot="1" x14ac:dyDescent="0.3">
      <c r="A51" s="75"/>
      <c r="B51" s="75"/>
      <c r="C51" s="35">
        <f>INDEX(Données!$F$2:$L$54,MATCH(F51,Données!$F$2:$F$54,0),2)</f>
        <v>43878</v>
      </c>
      <c r="D51" s="29" t="str">
        <f t="shared" si="0"/>
        <v>#4</v>
      </c>
      <c r="E51" s="7">
        <f>Données!H9</f>
        <v>43879</v>
      </c>
      <c r="F51" s="6" t="str">
        <f>INDEX(Données!$F$2:$L$54,MATCH('#4'!E51,Données!$G$2:$G$54,1),1)</f>
        <v>8</v>
      </c>
      <c r="G51" s="18" t="str">
        <f t="shared" si="1"/>
        <v>PS-4</v>
      </c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1"/>
      <c r="W51" s="75"/>
      <c r="X51" s="75"/>
      <c r="Y51" s="75"/>
      <c r="Z51" s="96">
        <f>SUM(Tableau15[[#This Row],[A-1]:[G-5]])</f>
        <v>0</v>
      </c>
      <c r="AA51" s="96" t="str">
        <f>IF(AND(Z51&gt;0,Tableau15[[#This Row],[CDS]]=""),"Oui","Non")</f>
        <v>Non</v>
      </c>
      <c r="AB51" s="75"/>
      <c r="AC51" s="75"/>
      <c r="AD51" s="75"/>
      <c r="AE51" s="75"/>
      <c r="AF51" s="75"/>
      <c r="AG51" s="75"/>
      <c r="AH51" s="75"/>
      <c r="AI51" s="75"/>
      <c r="AJ51" s="81"/>
      <c r="AK51" s="75"/>
      <c r="AL51" s="75"/>
    </row>
    <row r="52" spans="1:38" ht="15.75" hidden="1" thickBot="1" x14ac:dyDescent="0.3">
      <c r="A52" s="75"/>
      <c r="B52" s="75"/>
      <c r="C52" s="35">
        <f>INDEX(Données!$F$2:$L$54,MATCH(F52,Données!$F$2:$F$54,0),2)</f>
        <v>43878</v>
      </c>
      <c r="D52" s="29" t="str">
        <f t="shared" si="0"/>
        <v>#4</v>
      </c>
      <c r="E52" s="7">
        <f>Données!I9</f>
        <v>43880</v>
      </c>
      <c r="F52" s="6" t="str">
        <f>INDEX(Données!$F$2:$L$54,MATCH('#4'!E52,Données!$G$2:$G$54,1),1)</f>
        <v>8</v>
      </c>
      <c r="G52" s="18" t="str">
        <f t="shared" si="1"/>
        <v>PS-4</v>
      </c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1"/>
      <c r="W52" s="75"/>
      <c r="X52" s="75"/>
      <c r="Y52" s="75"/>
      <c r="Z52" s="96">
        <f>SUM(Tableau15[[#This Row],[A-1]:[G-5]])</f>
        <v>0</v>
      </c>
      <c r="AA52" s="96" t="str">
        <f>IF(AND(Z52&gt;0,Tableau15[[#This Row],[CDS]]=""),"Oui","Non")</f>
        <v>Non</v>
      </c>
      <c r="AB52" s="75"/>
      <c r="AC52" s="75"/>
      <c r="AD52" s="75"/>
      <c r="AE52" s="75"/>
      <c r="AF52" s="75"/>
      <c r="AG52" s="75"/>
      <c r="AH52" s="75"/>
      <c r="AI52" s="75"/>
      <c r="AJ52" s="81"/>
      <c r="AK52" s="75"/>
      <c r="AL52" s="75"/>
    </row>
    <row r="53" spans="1:38" ht="15.75" hidden="1" thickBot="1" x14ac:dyDescent="0.3">
      <c r="A53" s="75"/>
      <c r="B53" s="75"/>
      <c r="C53" s="35">
        <f>INDEX(Données!$F$2:$L$54,MATCH(F53,Données!$F$2:$F$54,0),2)</f>
        <v>43878</v>
      </c>
      <c r="D53" s="29" t="str">
        <f t="shared" si="0"/>
        <v>#4</v>
      </c>
      <c r="E53" s="7">
        <f>Données!J9</f>
        <v>43881</v>
      </c>
      <c r="F53" s="6" t="str">
        <f>INDEX(Données!$F$2:$L$54,MATCH('#4'!E53,Données!$G$2:$G$54,1),1)</f>
        <v>8</v>
      </c>
      <c r="G53" s="18" t="str">
        <f t="shared" si="1"/>
        <v>PS-4</v>
      </c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1"/>
      <c r="W53" s="75"/>
      <c r="X53" s="75"/>
      <c r="Y53" s="75"/>
      <c r="Z53" s="96">
        <f>SUM(Tableau15[[#This Row],[A-1]:[G-5]])</f>
        <v>0</v>
      </c>
      <c r="AA53" s="96" t="str">
        <f>IF(AND(Z53&gt;0,Tableau15[[#This Row],[CDS]]=""),"Oui","Non")</f>
        <v>Non</v>
      </c>
      <c r="AB53" s="75"/>
      <c r="AC53" s="75"/>
      <c r="AD53" s="75"/>
      <c r="AE53" s="75"/>
      <c r="AF53" s="75"/>
      <c r="AG53" s="75"/>
      <c r="AH53" s="75"/>
      <c r="AI53" s="75"/>
      <c r="AJ53" s="81"/>
      <c r="AK53" s="75"/>
      <c r="AL53" s="75"/>
    </row>
    <row r="54" spans="1:38" ht="15.75" hidden="1" thickBot="1" x14ac:dyDescent="0.3">
      <c r="A54" s="75"/>
      <c r="B54" s="75"/>
      <c r="C54" s="35">
        <f>INDEX(Données!$F$2:$L$54,MATCH(F54,Données!$F$2:$F$54,0),2)</f>
        <v>43878</v>
      </c>
      <c r="D54" s="29" t="str">
        <f t="shared" si="0"/>
        <v>#4</v>
      </c>
      <c r="E54" s="7">
        <f>Données!K9</f>
        <v>43882</v>
      </c>
      <c r="F54" s="6" t="str">
        <f>INDEX(Données!$F$2:$L$54,MATCH('#4'!E54,Données!$G$2:$G$54,1),1)</f>
        <v>8</v>
      </c>
      <c r="G54" s="18" t="str">
        <f t="shared" si="1"/>
        <v>PS-4</v>
      </c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1"/>
      <c r="W54" s="75"/>
      <c r="X54" s="75"/>
      <c r="Y54" s="75"/>
      <c r="Z54" s="96">
        <f>SUM(Tableau15[[#This Row],[A-1]:[G-5]])</f>
        <v>0</v>
      </c>
      <c r="AA54" s="96" t="str">
        <f>IF(AND(Z54&gt;0,Tableau15[[#This Row],[CDS]]=""),"Oui","Non")</f>
        <v>Non</v>
      </c>
      <c r="AB54" s="75"/>
      <c r="AC54" s="75"/>
      <c r="AD54" s="75"/>
      <c r="AE54" s="75"/>
      <c r="AF54" s="75"/>
      <c r="AG54" s="75"/>
      <c r="AH54" s="75"/>
      <c r="AI54" s="75"/>
      <c r="AJ54" s="81"/>
      <c r="AK54" s="75"/>
      <c r="AL54" s="75"/>
    </row>
    <row r="55" spans="1:38" ht="15.75" hidden="1" thickBot="1" x14ac:dyDescent="0.3">
      <c r="A55" s="75"/>
      <c r="B55" s="75"/>
      <c r="C55" s="35">
        <f>INDEX(Données!$F$2:$L$54,MATCH(F55,Données!$F$2:$F$54,0),2)</f>
        <v>43878</v>
      </c>
      <c r="D55" s="29" t="str">
        <f t="shared" si="0"/>
        <v>#4</v>
      </c>
      <c r="E55" s="7">
        <f>Données!L9</f>
        <v>43883</v>
      </c>
      <c r="F55" s="6" t="str">
        <f>INDEX(Données!$F$2:$L$54,MATCH('#4'!E55,Données!$G$2:$G$54,1),1)</f>
        <v>8</v>
      </c>
      <c r="G55" s="18" t="str">
        <f t="shared" si="1"/>
        <v>PS-4</v>
      </c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1"/>
      <c r="W55" s="75"/>
      <c r="X55" s="75"/>
      <c r="Y55" s="75"/>
      <c r="Z55" s="96">
        <f>SUM(Tableau15[[#This Row],[A-1]:[G-5]])</f>
        <v>0</v>
      </c>
      <c r="AA55" s="96" t="str">
        <f>IF(AND(Z55&gt;0,Tableau15[[#This Row],[CDS]]=""),"Oui","Non")</f>
        <v>Non</v>
      </c>
      <c r="AB55" s="75"/>
      <c r="AC55" s="75"/>
      <c r="AD55" s="75"/>
      <c r="AE55" s="75"/>
      <c r="AF55" s="75"/>
      <c r="AG55" s="75"/>
      <c r="AH55" s="75"/>
      <c r="AI55" s="75"/>
      <c r="AJ55" s="81"/>
      <c r="AK55" s="75"/>
      <c r="AL55" s="75"/>
    </row>
    <row r="56" spans="1:38" ht="15.75" hidden="1" thickBot="1" x14ac:dyDescent="0.3">
      <c r="A56" s="75"/>
      <c r="B56" s="75"/>
      <c r="C56" s="35">
        <f>INDEX(Données!$F$2:$L$54,MATCH(F56,Données!$F$2:$F$54,0),2)</f>
        <v>43885</v>
      </c>
      <c r="D56" s="29" t="str">
        <f t="shared" si="0"/>
        <v>#4</v>
      </c>
      <c r="E56" s="7">
        <f>Données!G10</f>
        <v>43885</v>
      </c>
      <c r="F56" s="6" t="str">
        <f>INDEX(Données!$F$2:$L$54,MATCH('#4'!E56,Données!$G$2:$G$54,1),1)</f>
        <v>9</v>
      </c>
      <c r="G56" s="18" t="str">
        <f t="shared" si="1"/>
        <v>PS-4</v>
      </c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1"/>
      <c r="W56" s="75"/>
      <c r="X56" s="75"/>
      <c r="Y56" s="75"/>
      <c r="Z56" s="96">
        <f>SUM(Tableau15[[#This Row],[A-1]:[G-5]])</f>
        <v>0</v>
      </c>
      <c r="AA56" s="96" t="str">
        <f>IF(AND(Z56&gt;0,Tableau15[[#This Row],[CDS]]=""),"Oui","Non")</f>
        <v>Non</v>
      </c>
      <c r="AB56" s="75"/>
      <c r="AC56" s="75"/>
      <c r="AD56" s="75"/>
      <c r="AE56" s="75"/>
      <c r="AF56" s="75"/>
      <c r="AG56" s="75"/>
      <c r="AH56" s="75"/>
      <c r="AI56" s="75"/>
      <c r="AJ56" s="81"/>
      <c r="AK56" s="75"/>
      <c r="AL56" s="75"/>
    </row>
    <row r="57" spans="1:38" ht="15.75" hidden="1" thickBot="1" x14ac:dyDescent="0.3">
      <c r="A57" s="75"/>
      <c r="B57" s="75"/>
      <c r="C57" s="35">
        <f>INDEX(Données!$F$2:$L$54,MATCH(F57,Données!$F$2:$F$54,0),2)</f>
        <v>43885</v>
      </c>
      <c r="D57" s="29" t="str">
        <f t="shared" si="0"/>
        <v>#4</v>
      </c>
      <c r="E57" s="7">
        <f>Données!H10</f>
        <v>43886</v>
      </c>
      <c r="F57" s="6" t="str">
        <f>INDEX(Données!$F$2:$L$54,MATCH('#4'!E57,Données!$G$2:$G$54,1),1)</f>
        <v>9</v>
      </c>
      <c r="G57" s="18" t="str">
        <f t="shared" si="1"/>
        <v>PS-4</v>
      </c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1"/>
      <c r="W57" s="75"/>
      <c r="X57" s="75"/>
      <c r="Y57" s="75"/>
      <c r="Z57" s="96">
        <f>SUM(Tableau15[[#This Row],[A-1]:[G-5]])</f>
        <v>0</v>
      </c>
      <c r="AA57" s="96" t="str">
        <f>IF(AND(Z57&gt;0,Tableau15[[#This Row],[CDS]]=""),"Oui","Non")</f>
        <v>Non</v>
      </c>
      <c r="AB57" s="75"/>
      <c r="AC57" s="75"/>
      <c r="AD57" s="75"/>
      <c r="AE57" s="75"/>
      <c r="AF57" s="75"/>
      <c r="AG57" s="75"/>
      <c r="AH57" s="75"/>
      <c r="AI57" s="75"/>
      <c r="AJ57" s="81"/>
      <c r="AK57" s="75"/>
      <c r="AL57" s="75"/>
    </row>
    <row r="58" spans="1:38" ht="15.75" hidden="1" thickBot="1" x14ac:dyDescent="0.3">
      <c r="A58" s="75"/>
      <c r="B58" s="75"/>
      <c r="C58" s="35">
        <f>INDEX(Données!$F$2:$L$54,MATCH(F58,Données!$F$2:$F$54,0),2)</f>
        <v>43885</v>
      </c>
      <c r="D58" s="29" t="str">
        <f t="shared" si="0"/>
        <v>#4</v>
      </c>
      <c r="E58" s="7">
        <f>Données!I10</f>
        <v>43887</v>
      </c>
      <c r="F58" s="6" t="str">
        <f>INDEX(Données!$F$2:$L$54,MATCH('#4'!E58,Données!$G$2:$G$54,1),1)</f>
        <v>9</v>
      </c>
      <c r="G58" s="18" t="str">
        <f t="shared" si="1"/>
        <v>PS-4</v>
      </c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1"/>
      <c r="W58" s="75"/>
      <c r="X58" s="75"/>
      <c r="Y58" s="75"/>
      <c r="Z58" s="96">
        <f>SUM(Tableau15[[#This Row],[A-1]:[G-5]])</f>
        <v>0</v>
      </c>
      <c r="AA58" s="96" t="str">
        <f>IF(AND(Z58&gt;0,Tableau15[[#This Row],[CDS]]=""),"Oui","Non")</f>
        <v>Non</v>
      </c>
      <c r="AB58" s="75"/>
      <c r="AC58" s="75"/>
      <c r="AD58" s="75"/>
      <c r="AE58" s="75"/>
      <c r="AF58" s="75"/>
      <c r="AG58" s="75"/>
      <c r="AH58" s="75"/>
      <c r="AI58" s="75"/>
      <c r="AJ58" s="81"/>
      <c r="AK58" s="75"/>
      <c r="AL58" s="75"/>
    </row>
    <row r="59" spans="1:38" ht="15.75" hidden="1" thickBot="1" x14ac:dyDescent="0.3">
      <c r="A59" s="75"/>
      <c r="B59" s="75"/>
      <c r="C59" s="35">
        <f>INDEX(Données!$F$2:$L$54,MATCH(F59,Données!$F$2:$F$54,0),2)</f>
        <v>43885</v>
      </c>
      <c r="D59" s="29" t="str">
        <f t="shared" si="0"/>
        <v>#4</v>
      </c>
      <c r="E59" s="7">
        <f>Données!J10</f>
        <v>43888</v>
      </c>
      <c r="F59" s="6" t="str">
        <f>INDEX(Données!$F$2:$L$54,MATCH('#4'!E59,Données!$G$2:$G$54,1),1)</f>
        <v>9</v>
      </c>
      <c r="G59" s="18" t="str">
        <f t="shared" si="1"/>
        <v>PS-4</v>
      </c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1"/>
      <c r="W59" s="75"/>
      <c r="X59" s="75"/>
      <c r="Y59" s="75"/>
      <c r="Z59" s="96">
        <f>SUM(Tableau15[[#This Row],[A-1]:[G-5]])</f>
        <v>0</v>
      </c>
      <c r="AA59" s="96" t="str">
        <f>IF(AND(Z59&gt;0,Tableau15[[#This Row],[CDS]]=""),"Oui","Non")</f>
        <v>Non</v>
      </c>
      <c r="AB59" s="75"/>
      <c r="AC59" s="75"/>
      <c r="AD59" s="75"/>
      <c r="AE59" s="75"/>
      <c r="AF59" s="75"/>
      <c r="AG59" s="75"/>
      <c r="AH59" s="75"/>
      <c r="AI59" s="75"/>
      <c r="AJ59" s="81"/>
      <c r="AK59" s="75"/>
      <c r="AL59" s="75"/>
    </row>
    <row r="60" spans="1:38" ht="15.75" hidden="1" thickBot="1" x14ac:dyDescent="0.3">
      <c r="A60" s="75"/>
      <c r="B60" s="75"/>
      <c r="C60" s="35">
        <f>INDEX(Données!$F$2:$L$54,MATCH(F60,Données!$F$2:$F$54,0),2)</f>
        <v>43885</v>
      </c>
      <c r="D60" s="29" t="str">
        <f t="shared" si="0"/>
        <v>#4</v>
      </c>
      <c r="E60" s="7">
        <f>Données!K10</f>
        <v>43889</v>
      </c>
      <c r="F60" s="6" t="str">
        <f>INDEX(Données!$F$2:$L$54,MATCH('#4'!E60,Données!$G$2:$G$54,1),1)</f>
        <v>9</v>
      </c>
      <c r="G60" s="18" t="str">
        <f t="shared" si="1"/>
        <v>PS-4</v>
      </c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1"/>
      <c r="W60" s="75"/>
      <c r="X60" s="75"/>
      <c r="Y60" s="75"/>
      <c r="Z60" s="96">
        <f>SUM(Tableau15[[#This Row],[A-1]:[G-5]])</f>
        <v>0</v>
      </c>
      <c r="AA60" s="96" t="str">
        <f>IF(AND(Z60&gt;0,Tableau15[[#This Row],[CDS]]=""),"Oui","Non")</f>
        <v>Non</v>
      </c>
      <c r="AB60" s="75"/>
      <c r="AC60" s="75"/>
      <c r="AD60" s="75"/>
      <c r="AE60" s="75"/>
      <c r="AF60" s="75"/>
      <c r="AG60" s="75"/>
      <c r="AH60" s="75"/>
      <c r="AI60" s="75"/>
      <c r="AJ60" s="81"/>
      <c r="AK60" s="75"/>
      <c r="AL60" s="75"/>
    </row>
    <row r="61" spans="1:38" ht="15.75" hidden="1" thickBot="1" x14ac:dyDescent="0.3">
      <c r="A61" s="75"/>
      <c r="B61" s="75"/>
      <c r="C61" s="35">
        <f>INDEX(Données!$F$2:$L$54,MATCH(F61,Données!$F$2:$F$54,0),2)</f>
        <v>43885</v>
      </c>
      <c r="D61" s="29" t="str">
        <f t="shared" si="0"/>
        <v>#4</v>
      </c>
      <c r="E61" s="7">
        <f>Données!L10</f>
        <v>43890</v>
      </c>
      <c r="F61" s="6" t="str">
        <f>INDEX(Données!$F$2:$L$54,MATCH('#4'!E61,Données!$G$2:$G$54,1),1)</f>
        <v>9</v>
      </c>
      <c r="G61" s="18" t="str">
        <f t="shared" si="1"/>
        <v>PS-4</v>
      </c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1"/>
      <c r="W61" s="75"/>
      <c r="X61" s="75"/>
      <c r="Y61" s="75"/>
      <c r="Z61" s="96">
        <f>SUM(Tableau15[[#This Row],[A-1]:[G-5]])</f>
        <v>0</v>
      </c>
      <c r="AA61" s="96" t="str">
        <f>IF(AND(Z61&gt;0,Tableau15[[#This Row],[CDS]]=""),"Oui","Non")</f>
        <v>Non</v>
      </c>
      <c r="AB61" s="75"/>
      <c r="AC61" s="75"/>
      <c r="AD61" s="75"/>
      <c r="AE61" s="75"/>
      <c r="AF61" s="75"/>
      <c r="AG61" s="75"/>
      <c r="AH61" s="75"/>
      <c r="AI61" s="75"/>
      <c r="AJ61" s="81"/>
      <c r="AK61" s="75"/>
      <c r="AL61" s="75"/>
    </row>
    <row r="62" spans="1:38" ht="15.75" hidden="1" thickBot="1" x14ac:dyDescent="0.3">
      <c r="A62" s="75"/>
      <c r="B62" s="75"/>
      <c r="C62" s="35">
        <f>INDEX(Données!$F$2:$L$54,MATCH(F62,Données!$F$2:$F$54,0),2)</f>
        <v>43892</v>
      </c>
      <c r="D62" s="29" t="str">
        <f t="shared" si="0"/>
        <v>#4</v>
      </c>
      <c r="E62" s="7">
        <f>Données!G11</f>
        <v>43892</v>
      </c>
      <c r="F62" s="6" t="str">
        <f>INDEX(Données!$F$2:$L$54,MATCH('#4'!E62,Données!$G$2:$G$54,1),1)</f>
        <v>10</v>
      </c>
      <c r="G62" s="18" t="str">
        <f t="shared" si="1"/>
        <v>PS-4</v>
      </c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1"/>
      <c r="W62" s="75"/>
      <c r="X62" s="75"/>
      <c r="Y62" s="75"/>
      <c r="Z62" s="96">
        <f>SUM(Tableau15[[#This Row],[A-1]:[G-5]])</f>
        <v>0</v>
      </c>
      <c r="AA62" s="96" t="str">
        <f>IF(AND(Z62&gt;0,Tableau15[[#This Row],[CDS]]=""),"Oui","Non")</f>
        <v>Non</v>
      </c>
      <c r="AB62" s="75"/>
      <c r="AC62" s="75"/>
      <c r="AD62" s="75"/>
      <c r="AE62" s="75"/>
      <c r="AF62" s="75"/>
      <c r="AG62" s="75"/>
      <c r="AH62" s="75"/>
      <c r="AI62" s="75"/>
      <c r="AJ62" s="81"/>
      <c r="AK62" s="75"/>
      <c r="AL62" s="75"/>
    </row>
    <row r="63" spans="1:38" ht="15.75" hidden="1" thickBot="1" x14ac:dyDescent="0.3">
      <c r="A63" s="75"/>
      <c r="B63" s="75"/>
      <c r="C63" s="35">
        <f>INDEX(Données!$F$2:$L$54,MATCH(F63,Données!$F$2:$F$54,0),2)</f>
        <v>43892</v>
      </c>
      <c r="D63" s="29" t="str">
        <f t="shared" si="0"/>
        <v>#4</v>
      </c>
      <c r="E63" s="7">
        <f>Données!H11</f>
        <v>43893</v>
      </c>
      <c r="F63" s="6" t="str">
        <f>INDEX(Données!$F$2:$L$54,MATCH('#4'!E63,Données!$G$2:$G$54,1),1)</f>
        <v>10</v>
      </c>
      <c r="G63" s="18" t="str">
        <f t="shared" si="1"/>
        <v>PS-4</v>
      </c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1"/>
      <c r="W63" s="75"/>
      <c r="X63" s="75"/>
      <c r="Y63" s="75"/>
      <c r="Z63" s="96">
        <f>SUM(Tableau15[[#This Row],[A-1]:[G-5]])</f>
        <v>0</v>
      </c>
      <c r="AA63" s="96" t="str">
        <f>IF(AND(Z63&gt;0,Tableau15[[#This Row],[CDS]]=""),"Oui","Non")</f>
        <v>Non</v>
      </c>
      <c r="AB63" s="75"/>
      <c r="AC63" s="75"/>
      <c r="AD63" s="75"/>
      <c r="AE63" s="75"/>
      <c r="AF63" s="75"/>
      <c r="AG63" s="75"/>
      <c r="AH63" s="75"/>
      <c r="AI63" s="75"/>
      <c r="AJ63" s="81"/>
      <c r="AK63" s="75"/>
      <c r="AL63" s="75"/>
    </row>
    <row r="64" spans="1:38" ht="15.75" hidden="1" thickBot="1" x14ac:dyDescent="0.3">
      <c r="A64" s="75"/>
      <c r="B64" s="75"/>
      <c r="C64" s="35">
        <f>INDEX(Données!$F$2:$L$54,MATCH(F64,Données!$F$2:$F$54,0),2)</f>
        <v>43892</v>
      </c>
      <c r="D64" s="29" t="str">
        <f t="shared" si="0"/>
        <v>#4</v>
      </c>
      <c r="E64" s="7">
        <f>Données!I11</f>
        <v>43894</v>
      </c>
      <c r="F64" s="6" t="str">
        <f>INDEX(Données!$F$2:$L$54,MATCH('#4'!E64,Données!$G$2:$G$54,1),1)</f>
        <v>10</v>
      </c>
      <c r="G64" s="18" t="str">
        <f t="shared" si="1"/>
        <v>PS-4</v>
      </c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1"/>
      <c r="W64" s="75"/>
      <c r="X64" s="75"/>
      <c r="Y64" s="75"/>
      <c r="Z64" s="96">
        <f>SUM(Tableau15[[#This Row],[A-1]:[G-5]])</f>
        <v>0</v>
      </c>
      <c r="AA64" s="96" t="str">
        <f>IF(AND(Z64&gt;0,Tableau15[[#This Row],[CDS]]=""),"Oui","Non")</f>
        <v>Non</v>
      </c>
      <c r="AB64" s="75"/>
      <c r="AC64" s="75"/>
      <c r="AD64" s="75"/>
      <c r="AE64" s="75"/>
      <c r="AF64" s="75"/>
      <c r="AG64" s="75"/>
      <c r="AH64" s="75"/>
      <c r="AI64" s="75"/>
      <c r="AJ64" s="81"/>
      <c r="AK64" s="75"/>
      <c r="AL64" s="75"/>
    </row>
    <row r="65" spans="1:38" ht="15.75" hidden="1" thickBot="1" x14ac:dyDescent="0.3">
      <c r="A65" s="75"/>
      <c r="B65" s="75"/>
      <c r="C65" s="35">
        <f>INDEX(Données!$F$2:$L$54,MATCH(F65,Données!$F$2:$F$54,0),2)</f>
        <v>43892</v>
      </c>
      <c r="D65" s="29" t="str">
        <f t="shared" si="0"/>
        <v>#4</v>
      </c>
      <c r="E65" s="7">
        <f>Données!J11</f>
        <v>43895</v>
      </c>
      <c r="F65" s="6" t="str">
        <f>INDEX(Données!$F$2:$L$54,MATCH('#4'!E65,Données!$G$2:$G$54,1),1)</f>
        <v>10</v>
      </c>
      <c r="G65" s="18" t="str">
        <f t="shared" si="1"/>
        <v>PS-4</v>
      </c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1"/>
      <c r="W65" s="75"/>
      <c r="X65" s="75"/>
      <c r="Y65" s="75"/>
      <c r="Z65" s="96">
        <f>SUM(Tableau15[[#This Row],[A-1]:[G-5]])</f>
        <v>0</v>
      </c>
      <c r="AA65" s="96" t="str">
        <f>IF(AND(Z65&gt;0,Tableau15[[#This Row],[CDS]]=""),"Oui","Non")</f>
        <v>Non</v>
      </c>
      <c r="AB65" s="75"/>
      <c r="AC65" s="75"/>
      <c r="AD65" s="75"/>
      <c r="AE65" s="75"/>
      <c r="AF65" s="75"/>
      <c r="AG65" s="75"/>
      <c r="AH65" s="75"/>
      <c r="AI65" s="75"/>
      <c r="AJ65" s="81"/>
      <c r="AK65" s="75"/>
      <c r="AL65" s="75"/>
    </row>
    <row r="66" spans="1:38" ht="15.75" hidden="1" thickBot="1" x14ac:dyDescent="0.3">
      <c r="A66" s="75"/>
      <c r="B66" s="75"/>
      <c r="C66" s="35">
        <f>INDEX(Données!$F$2:$L$54,MATCH(F66,Données!$F$2:$F$54,0),2)</f>
        <v>43892</v>
      </c>
      <c r="D66" s="29" t="str">
        <f t="shared" si="0"/>
        <v>#4</v>
      </c>
      <c r="E66" s="7">
        <f>Données!K11</f>
        <v>43896</v>
      </c>
      <c r="F66" s="6" t="str">
        <f>INDEX(Données!$F$2:$L$54,MATCH('#4'!E66,Données!$G$2:$G$54,1),1)</f>
        <v>10</v>
      </c>
      <c r="G66" s="18" t="str">
        <f t="shared" si="1"/>
        <v>PS-4</v>
      </c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1"/>
      <c r="W66" s="75"/>
      <c r="X66" s="75"/>
      <c r="Y66" s="75"/>
      <c r="Z66" s="96">
        <f>SUM(Tableau15[[#This Row],[A-1]:[G-5]])</f>
        <v>0</v>
      </c>
      <c r="AA66" s="96" t="str">
        <f>IF(AND(Z66&gt;0,Tableau15[[#This Row],[CDS]]=""),"Oui","Non")</f>
        <v>Non</v>
      </c>
      <c r="AB66" s="75"/>
      <c r="AC66" s="75"/>
      <c r="AD66" s="75"/>
      <c r="AE66" s="75"/>
      <c r="AF66" s="75"/>
      <c r="AG66" s="75"/>
      <c r="AH66" s="75"/>
      <c r="AI66" s="75"/>
      <c r="AJ66" s="81"/>
      <c r="AK66" s="75"/>
      <c r="AL66" s="75"/>
    </row>
    <row r="67" spans="1:38" ht="15.75" hidden="1" thickBot="1" x14ac:dyDescent="0.3">
      <c r="A67" s="75"/>
      <c r="B67" s="75"/>
      <c r="C67" s="35">
        <f>INDEX(Données!$F$2:$L$54,MATCH(F67,Données!$F$2:$F$54,0),2)</f>
        <v>43892</v>
      </c>
      <c r="D67" s="29" t="str">
        <f t="shared" si="0"/>
        <v>#4</v>
      </c>
      <c r="E67" s="7">
        <f>Données!L11</f>
        <v>43897</v>
      </c>
      <c r="F67" s="6" t="str">
        <f>INDEX(Données!$F$2:$L$54,MATCH('#4'!E67,Données!$G$2:$G$54,1),1)</f>
        <v>10</v>
      </c>
      <c r="G67" s="18" t="str">
        <f t="shared" si="1"/>
        <v>PS-4</v>
      </c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1"/>
      <c r="W67" s="75"/>
      <c r="X67" s="75"/>
      <c r="Y67" s="75"/>
      <c r="Z67" s="96">
        <f>SUM(Tableau15[[#This Row],[A-1]:[G-5]])</f>
        <v>0</v>
      </c>
      <c r="AA67" s="96" t="str">
        <f>IF(AND(Z67&gt;0,Tableau15[[#This Row],[CDS]]=""),"Oui","Non")</f>
        <v>Non</v>
      </c>
      <c r="AB67" s="75"/>
      <c r="AC67" s="75"/>
      <c r="AD67" s="75"/>
      <c r="AE67" s="75"/>
      <c r="AF67" s="75"/>
      <c r="AG67" s="75"/>
      <c r="AH67" s="75"/>
      <c r="AI67" s="75"/>
      <c r="AJ67" s="81"/>
      <c r="AK67" s="75"/>
      <c r="AL67" s="75"/>
    </row>
    <row r="68" spans="1:38" ht="15.75" hidden="1" thickBot="1" x14ac:dyDescent="0.3">
      <c r="A68" s="75"/>
      <c r="B68" s="75"/>
      <c r="C68" s="35">
        <f>INDEX(Données!$F$2:$L$54,MATCH(F68,Données!$F$2:$F$54,0),2)</f>
        <v>43899</v>
      </c>
      <c r="D68" s="29" t="str">
        <f t="shared" si="0"/>
        <v>#4</v>
      </c>
      <c r="E68" s="7">
        <f>Données!G12</f>
        <v>43899</v>
      </c>
      <c r="F68" s="6" t="str">
        <f>INDEX(Données!$F$2:$L$54,MATCH('#4'!E68,Données!$G$2:$G$54,1),1)</f>
        <v>11</v>
      </c>
      <c r="G68" s="18" t="str">
        <f t="shared" si="1"/>
        <v>PS-4</v>
      </c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1"/>
      <c r="W68" s="75"/>
      <c r="X68" s="75"/>
      <c r="Y68" s="75"/>
      <c r="Z68" s="96">
        <f>SUM(Tableau15[[#This Row],[A-1]:[G-5]])</f>
        <v>0</v>
      </c>
      <c r="AA68" s="96" t="str">
        <f>IF(AND(Z68&gt;0,Tableau15[[#This Row],[CDS]]=""),"Oui","Non")</f>
        <v>Non</v>
      </c>
      <c r="AB68" s="75"/>
      <c r="AC68" s="75"/>
      <c r="AD68" s="75"/>
      <c r="AE68" s="75"/>
      <c r="AF68" s="75"/>
      <c r="AG68" s="75"/>
      <c r="AH68" s="75"/>
      <c r="AI68" s="75"/>
      <c r="AJ68" s="81"/>
      <c r="AK68" s="75"/>
      <c r="AL68" s="75"/>
    </row>
    <row r="69" spans="1:38" ht="15.75" hidden="1" thickBot="1" x14ac:dyDescent="0.3">
      <c r="A69" s="75"/>
      <c r="B69" s="75"/>
      <c r="C69" s="35">
        <f>INDEX(Données!$F$2:$L$54,MATCH(F69,Données!$F$2:$F$54,0),2)</f>
        <v>43899</v>
      </c>
      <c r="D69" s="29" t="str">
        <f t="shared" si="0"/>
        <v>#4</v>
      </c>
      <c r="E69" s="7">
        <f>Données!H12</f>
        <v>43900</v>
      </c>
      <c r="F69" s="6" t="str">
        <f>INDEX(Données!$F$2:$L$54,MATCH('#4'!E69,Données!$G$2:$G$54,1),1)</f>
        <v>11</v>
      </c>
      <c r="G69" s="18" t="str">
        <f t="shared" si="1"/>
        <v>PS-4</v>
      </c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1"/>
      <c r="W69" s="75"/>
      <c r="X69" s="75"/>
      <c r="Y69" s="75"/>
      <c r="Z69" s="96">
        <f>SUM(Tableau15[[#This Row],[A-1]:[G-5]])</f>
        <v>0</v>
      </c>
      <c r="AA69" s="96" t="str">
        <f>IF(AND(Z69&gt;0,Tableau15[[#This Row],[CDS]]=""),"Oui","Non")</f>
        <v>Non</v>
      </c>
      <c r="AB69" s="75"/>
      <c r="AC69" s="75"/>
      <c r="AD69" s="75"/>
      <c r="AE69" s="75"/>
      <c r="AF69" s="75"/>
      <c r="AG69" s="75"/>
      <c r="AH69" s="75"/>
      <c r="AI69" s="75"/>
      <c r="AJ69" s="81"/>
      <c r="AK69" s="75"/>
      <c r="AL69" s="75"/>
    </row>
    <row r="70" spans="1:38" ht="15.75" hidden="1" thickBot="1" x14ac:dyDescent="0.3">
      <c r="A70" s="75"/>
      <c r="B70" s="75"/>
      <c r="C70" s="35">
        <f>INDEX(Données!$F$2:$L$54,MATCH(F70,Données!$F$2:$F$54,0),2)</f>
        <v>43899</v>
      </c>
      <c r="D70" s="29" t="str">
        <f t="shared" si="0"/>
        <v>#4</v>
      </c>
      <c r="E70" s="7">
        <f>Données!I12</f>
        <v>43901</v>
      </c>
      <c r="F70" s="6" t="str">
        <f>INDEX(Données!$F$2:$L$54,MATCH('#4'!E70,Données!$G$2:$G$54,1),1)</f>
        <v>11</v>
      </c>
      <c r="G70" s="18" t="str">
        <f t="shared" si="1"/>
        <v>PS-4</v>
      </c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1"/>
      <c r="W70" s="75"/>
      <c r="X70" s="75"/>
      <c r="Y70" s="75"/>
      <c r="Z70" s="96">
        <f>SUM(Tableau15[[#This Row],[A-1]:[G-5]])</f>
        <v>0</v>
      </c>
      <c r="AA70" s="96" t="str">
        <f>IF(AND(Z70&gt;0,Tableau15[[#This Row],[CDS]]=""),"Oui","Non")</f>
        <v>Non</v>
      </c>
      <c r="AB70" s="75"/>
      <c r="AC70" s="75"/>
      <c r="AD70" s="75"/>
      <c r="AE70" s="75"/>
      <c r="AF70" s="75"/>
      <c r="AG70" s="75"/>
      <c r="AH70" s="75"/>
      <c r="AI70" s="75"/>
      <c r="AJ70" s="81"/>
      <c r="AK70" s="75"/>
      <c r="AL70" s="75"/>
    </row>
    <row r="71" spans="1:38" ht="15.75" hidden="1" thickBot="1" x14ac:dyDescent="0.3">
      <c r="A71" s="75"/>
      <c r="B71" s="75"/>
      <c r="C71" s="35">
        <f>INDEX(Données!$F$2:$L$54,MATCH(F71,Données!$F$2:$F$54,0),2)</f>
        <v>43899</v>
      </c>
      <c r="D71" s="29" t="str">
        <f t="shared" si="0"/>
        <v>#4</v>
      </c>
      <c r="E71" s="7">
        <f>Données!J12</f>
        <v>43902</v>
      </c>
      <c r="F71" s="6" t="str">
        <f>INDEX(Données!$F$2:$L$54,MATCH('#4'!E71,Données!$G$2:$G$54,1),1)</f>
        <v>11</v>
      </c>
      <c r="G71" s="18" t="str">
        <f t="shared" si="1"/>
        <v>PS-4</v>
      </c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1"/>
      <c r="W71" s="75"/>
      <c r="X71" s="75"/>
      <c r="Y71" s="75"/>
      <c r="Z71" s="96">
        <f>SUM(Tableau15[[#This Row],[A-1]:[G-5]])</f>
        <v>0</v>
      </c>
      <c r="AA71" s="96" t="str">
        <f>IF(AND(Z71&gt;0,Tableau15[[#This Row],[CDS]]=""),"Oui","Non")</f>
        <v>Non</v>
      </c>
      <c r="AB71" s="75"/>
      <c r="AC71" s="75"/>
      <c r="AD71" s="75"/>
      <c r="AE71" s="75"/>
      <c r="AF71" s="75"/>
      <c r="AG71" s="75"/>
      <c r="AH71" s="75"/>
      <c r="AI71" s="75"/>
      <c r="AJ71" s="81"/>
      <c r="AK71" s="75"/>
      <c r="AL71" s="75"/>
    </row>
    <row r="72" spans="1:38" ht="15.75" hidden="1" thickBot="1" x14ac:dyDescent="0.3">
      <c r="A72" s="75"/>
      <c r="B72" s="75"/>
      <c r="C72" s="35">
        <f>INDEX(Données!$F$2:$L$54,MATCH(F72,Données!$F$2:$F$54,0),2)</f>
        <v>43899</v>
      </c>
      <c r="D72" s="29" t="str">
        <f t="shared" ref="D72:D135" si="2">$E$4</f>
        <v>#4</v>
      </c>
      <c r="E72" s="7">
        <f>Données!K12</f>
        <v>43903</v>
      </c>
      <c r="F72" s="6" t="str">
        <f>INDEX(Données!$F$2:$L$54,MATCH('#4'!E72,Données!$G$2:$G$54,1),1)</f>
        <v>11</v>
      </c>
      <c r="G72" s="18" t="str">
        <f t="shared" ref="G72:G135" si="3">IF(AND($V$5=1),"PS-1",IF(AND($V$5=2),"PS-2",IF(AND($V$5=4),"PS-4",IF(AND($V$5=6),"S.O.",IF(AND($V$5=5),"")))))</f>
        <v>PS-4</v>
      </c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1"/>
      <c r="W72" s="75"/>
      <c r="X72" s="75"/>
      <c r="Y72" s="75"/>
      <c r="Z72" s="96">
        <f>SUM(Tableau15[[#This Row],[A-1]:[G-5]])</f>
        <v>0</v>
      </c>
      <c r="AA72" s="96" t="str">
        <f>IF(AND(Z72&gt;0,Tableau15[[#This Row],[CDS]]=""),"Oui","Non")</f>
        <v>Non</v>
      </c>
      <c r="AB72" s="75"/>
      <c r="AC72" s="75"/>
      <c r="AD72" s="75"/>
      <c r="AE72" s="75"/>
      <c r="AF72" s="75"/>
      <c r="AG72" s="75"/>
      <c r="AH72" s="75"/>
      <c r="AI72" s="75"/>
      <c r="AJ72" s="81"/>
      <c r="AK72" s="75"/>
      <c r="AL72" s="75"/>
    </row>
    <row r="73" spans="1:38" ht="15.75" hidden="1" thickBot="1" x14ac:dyDescent="0.3">
      <c r="A73" s="75"/>
      <c r="B73" s="75"/>
      <c r="C73" s="35">
        <f>INDEX(Données!$F$2:$L$54,MATCH(F73,Données!$F$2:$F$54,0),2)</f>
        <v>43899</v>
      </c>
      <c r="D73" s="29" t="str">
        <f t="shared" si="2"/>
        <v>#4</v>
      </c>
      <c r="E73" s="7">
        <f>Données!L12</f>
        <v>43904</v>
      </c>
      <c r="F73" s="6" t="str">
        <f>INDEX(Données!$F$2:$L$54,MATCH('#4'!E73,Données!$G$2:$G$54,1),1)</f>
        <v>11</v>
      </c>
      <c r="G73" s="18" t="str">
        <f t="shared" si="3"/>
        <v>PS-4</v>
      </c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1"/>
      <c r="W73" s="75"/>
      <c r="X73" s="75"/>
      <c r="Y73" s="75"/>
      <c r="Z73" s="96">
        <f>SUM(Tableau15[[#This Row],[A-1]:[G-5]])</f>
        <v>0</v>
      </c>
      <c r="AA73" s="96" t="str">
        <f>IF(AND(Z73&gt;0,Tableau15[[#This Row],[CDS]]=""),"Oui","Non")</f>
        <v>Non</v>
      </c>
      <c r="AB73" s="75"/>
      <c r="AC73" s="75"/>
      <c r="AD73" s="75"/>
      <c r="AE73" s="75"/>
      <c r="AF73" s="75"/>
      <c r="AG73" s="75"/>
      <c r="AH73" s="75"/>
      <c r="AI73" s="75"/>
      <c r="AJ73" s="81"/>
      <c r="AK73" s="75"/>
      <c r="AL73" s="75"/>
    </row>
    <row r="74" spans="1:38" ht="15.75" hidden="1" thickBot="1" x14ac:dyDescent="0.3">
      <c r="A74" s="75"/>
      <c r="B74" s="75"/>
      <c r="C74" s="35">
        <f>INDEX(Données!$F$2:$L$54,MATCH(F74,Données!$F$2:$F$54,0),2)</f>
        <v>43906</v>
      </c>
      <c r="D74" s="29" t="str">
        <f t="shared" si="2"/>
        <v>#4</v>
      </c>
      <c r="E74" s="7">
        <f>Données!G13</f>
        <v>43906</v>
      </c>
      <c r="F74" s="6" t="str">
        <f>INDEX(Données!$F$2:$L$54,MATCH('#4'!E74,Données!$G$2:$G$54,1),1)</f>
        <v>12</v>
      </c>
      <c r="G74" s="18" t="str">
        <f t="shared" si="3"/>
        <v>PS-4</v>
      </c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1"/>
      <c r="W74" s="75"/>
      <c r="X74" s="75"/>
      <c r="Y74" s="75"/>
      <c r="Z74" s="96">
        <f>SUM(Tableau15[[#This Row],[A-1]:[G-5]])</f>
        <v>0</v>
      </c>
      <c r="AA74" s="96" t="str">
        <f>IF(AND(Z74&gt;0,Tableau15[[#This Row],[CDS]]=""),"Oui","Non")</f>
        <v>Non</v>
      </c>
      <c r="AB74" s="75"/>
      <c r="AC74" s="75"/>
      <c r="AD74" s="75"/>
      <c r="AE74" s="75"/>
      <c r="AF74" s="75"/>
      <c r="AG74" s="75"/>
      <c r="AH74" s="75"/>
      <c r="AI74" s="75"/>
      <c r="AJ74" s="81"/>
      <c r="AK74" s="75"/>
      <c r="AL74" s="75"/>
    </row>
    <row r="75" spans="1:38" ht="15.75" hidden="1" thickBot="1" x14ac:dyDescent="0.3">
      <c r="A75" s="75"/>
      <c r="B75" s="75"/>
      <c r="C75" s="35">
        <f>INDEX(Données!$F$2:$L$54,MATCH(F75,Données!$F$2:$F$54,0),2)</f>
        <v>43906</v>
      </c>
      <c r="D75" s="29" t="str">
        <f t="shared" si="2"/>
        <v>#4</v>
      </c>
      <c r="E75" s="7">
        <f>Données!H13</f>
        <v>43907</v>
      </c>
      <c r="F75" s="6" t="str">
        <f>INDEX(Données!$F$2:$L$54,MATCH('#4'!E75,Données!$G$2:$G$54,1),1)</f>
        <v>12</v>
      </c>
      <c r="G75" s="18" t="str">
        <f t="shared" si="3"/>
        <v>PS-4</v>
      </c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1"/>
      <c r="W75" s="75"/>
      <c r="X75" s="75"/>
      <c r="Y75" s="75"/>
      <c r="Z75" s="96">
        <f>SUM(Tableau15[[#This Row],[A-1]:[G-5]])</f>
        <v>0</v>
      </c>
      <c r="AA75" s="96" t="str">
        <f>IF(AND(Z75&gt;0,Tableau15[[#This Row],[CDS]]=""),"Oui","Non")</f>
        <v>Non</v>
      </c>
      <c r="AB75" s="75"/>
      <c r="AC75" s="75"/>
      <c r="AD75" s="75"/>
      <c r="AE75" s="75"/>
      <c r="AF75" s="75"/>
      <c r="AG75" s="75"/>
      <c r="AH75" s="75"/>
      <c r="AI75" s="75"/>
      <c r="AJ75" s="81"/>
      <c r="AK75" s="75"/>
      <c r="AL75" s="75"/>
    </row>
    <row r="76" spans="1:38" ht="15.75" hidden="1" thickBot="1" x14ac:dyDescent="0.3">
      <c r="A76" s="75"/>
      <c r="B76" s="75"/>
      <c r="C76" s="35">
        <f>INDEX(Données!$F$2:$L$54,MATCH(F76,Données!$F$2:$F$54,0),2)</f>
        <v>43906</v>
      </c>
      <c r="D76" s="29" t="str">
        <f t="shared" si="2"/>
        <v>#4</v>
      </c>
      <c r="E76" s="7">
        <f>Données!I13</f>
        <v>43908</v>
      </c>
      <c r="F76" s="6" t="str">
        <f>INDEX(Données!$F$2:$L$54,MATCH('#4'!E76,Données!$G$2:$G$54,1),1)</f>
        <v>12</v>
      </c>
      <c r="G76" s="18" t="str">
        <f t="shared" si="3"/>
        <v>PS-4</v>
      </c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1"/>
      <c r="W76" s="75"/>
      <c r="X76" s="75"/>
      <c r="Y76" s="75"/>
      <c r="Z76" s="96">
        <f>SUM(Tableau15[[#This Row],[A-1]:[G-5]])</f>
        <v>0</v>
      </c>
      <c r="AA76" s="96" t="str">
        <f>IF(AND(Z76&gt;0,Tableau15[[#This Row],[CDS]]=""),"Oui","Non")</f>
        <v>Non</v>
      </c>
      <c r="AB76" s="75"/>
      <c r="AC76" s="75"/>
      <c r="AD76" s="75"/>
      <c r="AE76" s="75"/>
      <c r="AF76" s="75"/>
      <c r="AG76" s="75"/>
      <c r="AH76" s="75"/>
      <c r="AI76" s="75"/>
      <c r="AJ76" s="81"/>
      <c r="AK76" s="75"/>
      <c r="AL76" s="75"/>
    </row>
    <row r="77" spans="1:38" ht="15.75" hidden="1" thickBot="1" x14ac:dyDescent="0.3">
      <c r="A77" s="75"/>
      <c r="B77" s="75"/>
      <c r="C77" s="35">
        <f>INDEX(Données!$F$2:$L$54,MATCH(F77,Données!$F$2:$F$54,0),2)</f>
        <v>43906</v>
      </c>
      <c r="D77" s="29" t="str">
        <f t="shared" si="2"/>
        <v>#4</v>
      </c>
      <c r="E77" s="7">
        <f>Données!J13</f>
        <v>43909</v>
      </c>
      <c r="F77" s="6" t="str">
        <f>INDEX(Données!$F$2:$L$54,MATCH('#4'!E77,Données!$G$2:$G$54,1),1)</f>
        <v>12</v>
      </c>
      <c r="G77" s="18" t="str">
        <f t="shared" si="3"/>
        <v>PS-4</v>
      </c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1"/>
      <c r="W77" s="75"/>
      <c r="X77" s="75"/>
      <c r="Y77" s="75"/>
      <c r="Z77" s="96">
        <f>SUM(Tableau15[[#This Row],[A-1]:[G-5]])</f>
        <v>0</v>
      </c>
      <c r="AA77" s="96" t="str">
        <f>IF(AND(Z77&gt;0,Tableau15[[#This Row],[CDS]]=""),"Oui","Non")</f>
        <v>Non</v>
      </c>
      <c r="AB77" s="75"/>
      <c r="AC77" s="75"/>
      <c r="AD77" s="75"/>
      <c r="AE77" s="75"/>
      <c r="AF77" s="75"/>
      <c r="AG77" s="75"/>
      <c r="AH77" s="75"/>
      <c r="AI77" s="75"/>
      <c r="AJ77" s="81"/>
      <c r="AK77" s="75"/>
      <c r="AL77" s="75"/>
    </row>
    <row r="78" spans="1:38" ht="15.75" hidden="1" thickBot="1" x14ac:dyDescent="0.3">
      <c r="A78" s="75"/>
      <c r="B78" s="75"/>
      <c r="C78" s="35">
        <f>INDEX(Données!$F$2:$L$54,MATCH(F78,Données!$F$2:$F$54,0),2)</f>
        <v>43906</v>
      </c>
      <c r="D78" s="29" t="str">
        <f t="shared" si="2"/>
        <v>#4</v>
      </c>
      <c r="E78" s="7">
        <f>Données!K13</f>
        <v>43910</v>
      </c>
      <c r="F78" s="6" t="str">
        <f>INDEX(Données!$F$2:$L$54,MATCH('#4'!E78,Données!$G$2:$G$54,1),1)</f>
        <v>12</v>
      </c>
      <c r="G78" s="18" t="str">
        <f t="shared" si="3"/>
        <v>PS-4</v>
      </c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1"/>
      <c r="W78" s="75"/>
      <c r="X78" s="75"/>
      <c r="Y78" s="75"/>
      <c r="Z78" s="96">
        <f>SUM(Tableau15[[#This Row],[A-1]:[G-5]])</f>
        <v>0</v>
      </c>
      <c r="AA78" s="96" t="str">
        <f>IF(AND(Z78&gt;0,Tableau15[[#This Row],[CDS]]=""),"Oui","Non")</f>
        <v>Non</v>
      </c>
      <c r="AB78" s="75"/>
      <c r="AC78" s="75"/>
      <c r="AD78" s="75"/>
      <c r="AE78" s="75"/>
      <c r="AF78" s="75"/>
      <c r="AG78" s="75"/>
      <c r="AH78" s="75"/>
      <c r="AI78" s="75"/>
      <c r="AJ78" s="81"/>
      <c r="AK78" s="75"/>
      <c r="AL78" s="75"/>
    </row>
    <row r="79" spans="1:38" ht="15.75" hidden="1" thickBot="1" x14ac:dyDescent="0.3">
      <c r="A79" s="75"/>
      <c r="B79" s="75"/>
      <c r="C79" s="35">
        <f>INDEX(Données!$F$2:$L$54,MATCH(F79,Données!$F$2:$F$54,0),2)</f>
        <v>43906</v>
      </c>
      <c r="D79" s="29" t="str">
        <f t="shared" si="2"/>
        <v>#4</v>
      </c>
      <c r="E79" s="7">
        <f>Données!L13</f>
        <v>43911</v>
      </c>
      <c r="F79" s="6" t="str">
        <f>INDEX(Données!$F$2:$L$54,MATCH('#4'!E79,Données!$G$2:$G$54,1),1)</f>
        <v>12</v>
      </c>
      <c r="G79" s="18" t="str">
        <f t="shared" si="3"/>
        <v>PS-4</v>
      </c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1"/>
      <c r="W79" s="75"/>
      <c r="X79" s="75"/>
      <c r="Y79" s="75"/>
      <c r="Z79" s="96">
        <f>SUM(Tableau15[[#This Row],[A-1]:[G-5]])</f>
        <v>0</v>
      </c>
      <c r="AA79" s="96" t="str">
        <f>IF(AND(Z79&gt;0,Tableau15[[#This Row],[CDS]]=""),"Oui","Non")</f>
        <v>Non</v>
      </c>
      <c r="AB79" s="75"/>
      <c r="AC79" s="75"/>
      <c r="AD79" s="75"/>
      <c r="AE79" s="75"/>
      <c r="AF79" s="75"/>
      <c r="AG79" s="75"/>
      <c r="AH79" s="75"/>
      <c r="AI79" s="75"/>
      <c r="AJ79" s="81"/>
      <c r="AK79" s="75"/>
      <c r="AL79" s="75"/>
    </row>
    <row r="80" spans="1:38" ht="15.75" hidden="1" thickBot="1" x14ac:dyDescent="0.3">
      <c r="A80" s="75"/>
      <c r="B80" s="75"/>
      <c r="C80" s="35">
        <f>INDEX(Données!$F$2:$L$54,MATCH(F80,Données!$F$2:$F$54,0),2)</f>
        <v>43913</v>
      </c>
      <c r="D80" s="29" t="str">
        <f t="shared" si="2"/>
        <v>#4</v>
      </c>
      <c r="E80" s="7">
        <f>Données!G14</f>
        <v>43913</v>
      </c>
      <c r="F80" s="6" t="str">
        <f>INDEX(Données!$F$2:$L$54,MATCH('#4'!E80,Données!$G$2:$G$54,1),1)</f>
        <v>13</v>
      </c>
      <c r="G80" s="18" t="str">
        <f t="shared" si="3"/>
        <v>PS-4</v>
      </c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1"/>
      <c r="W80" s="75"/>
      <c r="X80" s="75"/>
      <c r="Y80" s="75"/>
      <c r="Z80" s="96">
        <f>SUM(Tableau15[[#This Row],[A-1]:[G-5]])</f>
        <v>0</v>
      </c>
      <c r="AA80" s="96" t="str">
        <f>IF(AND(Z80&gt;0,Tableau15[[#This Row],[CDS]]=""),"Oui","Non")</f>
        <v>Non</v>
      </c>
      <c r="AB80" s="75"/>
      <c r="AC80" s="75"/>
      <c r="AD80" s="75"/>
      <c r="AE80" s="75"/>
      <c r="AF80" s="75"/>
      <c r="AG80" s="75"/>
      <c r="AH80" s="75"/>
      <c r="AI80" s="75"/>
      <c r="AJ80" s="81"/>
      <c r="AK80" s="75"/>
      <c r="AL80" s="75"/>
    </row>
    <row r="81" spans="1:38" ht="15.75" hidden="1" thickBot="1" x14ac:dyDescent="0.3">
      <c r="A81" s="75"/>
      <c r="B81" s="75"/>
      <c r="C81" s="35">
        <f>INDEX(Données!$F$2:$L$54,MATCH(F81,Données!$F$2:$F$54,0),2)</f>
        <v>43913</v>
      </c>
      <c r="D81" s="29" t="str">
        <f t="shared" si="2"/>
        <v>#4</v>
      </c>
      <c r="E81" s="7">
        <f>Données!H14</f>
        <v>43914</v>
      </c>
      <c r="F81" s="6" t="str">
        <f>INDEX(Données!$F$2:$L$54,MATCH('#4'!E81,Données!$G$2:$G$54,1),1)</f>
        <v>13</v>
      </c>
      <c r="G81" s="18" t="str">
        <f t="shared" si="3"/>
        <v>PS-4</v>
      </c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1"/>
      <c r="W81" s="75"/>
      <c r="X81" s="75"/>
      <c r="Y81" s="75"/>
      <c r="Z81" s="96">
        <f>SUM(Tableau15[[#This Row],[A-1]:[G-5]])</f>
        <v>0</v>
      </c>
      <c r="AA81" s="96" t="str">
        <f>IF(AND(Z81&gt;0,Tableau15[[#This Row],[CDS]]=""),"Oui","Non")</f>
        <v>Non</v>
      </c>
      <c r="AB81" s="75"/>
      <c r="AC81" s="75"/>
      <c r="AD81" s="75"/>
      <c r="AE81" s="75"/>
      <c r="AF81" s="75"/>
      <c r="AG81" s="75"/>
      <c r="AH81" s="75"/>
      <c r="AI81" s="75"/>
      <c r="AJ81" s="81"/>
      <c r="AK81" s="75"/>
      <c r="AL81" s="75"/>
    </row>
    <row r="82" spans="1:38" ht="15.75" hidden="1" thickBot="1" x14ac:dyDescent="0.3">
      <c r="A82" s="75"/>
      <c r="B82" s="75"/>
      <c r="C82" s="35">
        <f>INDEX(Données!$F$2:$L$54,MATCH(F82,Données!$F$2:$F$54,0),2)</f>
        <v>43913</v>
      </c>
      <c r="D82" s="29" t="str">
        <f t="shared" si="2"/>
        <v>#4</v>
      </c>
      <c r="E82" s="7">
        <f>Données!I14</f>
        <v>43915</v>
      </c>
      <c r="F82" s="6" t="str">
        <f>INDEX(Données!$F$2:$L$54,MATCH('#4'!E82,Données!$G$2:$G$54,1),1)</f>
        <v>13</v>
      </c>
      <c r="G82" s="18" t="str">
        <f t="shared" si="3"/>
        <v>PS-4</v>
      </c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1"/>
      <c r="W82" s="75"/>
      <c r="X82" s="75"/>
      <c r="Y82" s="75"/>
      <c r="Z82" s="96">
        <f>SUM(Tableau15[[#This Row],[A-1]:[G-5]])</f>
        <v>0</v>
      </c>
      <c r="AA82" s="96" t="str">
        <f>IF(AND(Z82&gt;0,Tableau15[[#This Row],[CDS]]=""),"Oui","Non")</f>
        <v>Non</v>
      </c>
      <c r="AB82" s="75"/>
      <c r="AC82" s="75"/>
      <c r="AD82" s="75"/>
      <c r="AE82" s="75"/>
      <c r="AF82" s="75"/>
      <c r="AG82" s="75"/>
      <c r="AH82" s="75"/>
      <c r="AI82" s="75"/>
      <c r="AJ82" s="81"/>
      <c r="AK82" s="75"/>
      <c r="AL82" s="75"/>
    </row>
    <row r="83" spans="1:38" ht="15.75" hidden="1" thickBot="1" x14ac:dyDescent="0.3">
      <c r="A83" s="75"/>
      <c r="B83" s="75"/>
      <c r="C83" s="35">
        <f>INDEX(Données!$F$2:$L$54,MATCH(F83,Données!$F$2:$F$54,0),2)</f>
        <v>43913</v>
      </c>
      <c r="D83" s="29" t="str">
        <f t="shared" si="2"/>
        <v>#4</v>
      </c>
      <c r="E83" s="7">
        <f>Données!J14</f>
        <v>43916</v>
      </c>
      <c r="F83" s="6" t="str">
        <f>INDEX(Données!$F$2:$L$54,MATCH('#4'!E83,Données!$G$2:$G$54,1),1)</f>
        <v>13</v>
      </c>
      <c r="G83" s="18" t="str">
        <f t="shared" si="3"/>
        <v>PS-4</v>
      </c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1"/>
      <c r="W83" s="75"/>
      <c r="X83" s="75"/>
      <c r="Y83" s="75"/>
      <c r="Z83" s="96">
        <f>SUM(Tableau15[[#This Row],[A-1]:[G-5]])</f>
        <v>0</v>
      </c>
      <c r="AA83" s="96" t="str">
        <f>IF(AND(Z83&gt;0,Tableau15[[#This Row],[CDS]]=""),"Oui","Non")</f>
        <v>Non</v>
      </c>
      <c r="AB83" s="75"/>
      <c r="AC83" s="75"/>
      <c r="AD83" s="75"/>
      <c r="AE83" s="75"/>
      <c r="AF83" s="75"/>
      <c r="AG83" s="75"/>
      <c r="AH83" s="75"/>
      <c r="AI83" s="75"/>
      <c r="AJ83" s="81"/>
      <c r="AK83" s="75"/>
      <c r="AL83" s="75"/>
    </row>
    <row r="84" spans="1:38" ht="15.75" hidden="1" thickBot="1" x14ac:dyDescent="0.3">
      <c r="A84" s="75"/>
      <c r="B84" s="75"/>
      <c r="C84" s="35">
        <f>INDEX(Données!$F$2:$L$54,MATCH(F84,Données!$F$2:$F$54,0),2)</f>
        <v>43913</v>
      </c>
      <c r="D84" s="29" t="str">
        <f t="shared" si="2"/>
        <v>#4</v>
      </c>
      <c r="E84" s="7">
        <f>Données!K14</f>
        <v>43917</v>
      </c>
      <c r="F84" s="6" t="str">
        <f>INDEX(Données!$F$2:$L$54,MATCH('#4'!E84,Données!$G$2:$G$54,1),1)</f>
        <v>13</v>
      </c>
      <c r="G84" s="18" t="str">
        <f t="shared" si="3"/>
        <v>PS-4</v>
      </c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1"/>
      <c r="W84" s="75"/>
      <c r="X84" s="75"/>
      <c r="Y84" s="75"/>
      <c r="Z84" s="96">
        <f>SUM(Tableau15[[#This Row],[A-1]:[G-5]])</f>
        <v>0</v>
      </c>
      <c r="AA84" s="96" t="str">
        <f>IF(AND(Z84&gt;0,Tableau15[[#This Row],[CDS]]=""),"Oui","Non")</f>
        <v>Non</v>
      </c>
      <c r="AB84" s="75"/>
      <c r="AC84" s="75"/>
      <c r="AD84" s="75"/>
      <c r="AE84" s="75"/>
      <c r="AF84" s="75"/>
      <c r="AG84" s="75"/>
      <c r="AH84" s="75"/>
      <c r="AI84" s="75"/>
      <c r="AJ84" s="81"/>
      <c r="AK84" s="75"/>
      <c r="AL84" s="75"/>
    </row>
    <row r="85" spans="1:38" ht="15.75" hidden="1" thickBot="1" x14ac:dyDescent="0.3">
      <c r="A85" s="75"/>
      <c r="B85" s="75"/>
      <c r="C85" s="35">
        <f>INDEX(Données!$F$2:$L$54,MATCH(F85,Données!$F$2:$F$54,0),2)</f>
        <v>43913</v>
      </c>
      <c r="D85" s="29" t="str">
        <f t="shared" si="2"/>
        <v>#4</v>
      </c>
      <c r="E85" s="7">
        <f>Données!L14</f>
        <v>43918</v>
      </c>
      <c r="F85" s="6" t="str">
        <f>INDEX(Données!$F$2:$L$54,MATCH('#4'!E85,Données!$G$2:$G$54,1),1)</f>
        <v>13</v>
      </c>
      <c r="G85" s="18" t="str">
        <f t="shared" si="3"/>
        <v>PS-4</v>
      </c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1"/>
      <c r="W85" s="75"/>
      <c r="X85" s="75"/>
      <c r="Y85" s="75"/>
      <c r="Z85" s="96">
        <f>SUM(Tableau15[[#This Row],[A-1]:[G-5]])</f>
        <v>0</v>
      </c>
      <c r="AA85" s="96" t="str">
        <f>IF(AND(Z85&gt;0,Tableau15[[#This Row],[CDS]]=""),"Oui","Non")</f>
        <v>Non</v>
      </c>
      <c r="AB85" s="75"/>
      <c r="AC85" s="75"/>
      <c r="AD85" s="75"/>
      <c r="AE85" s="75"/>
      <c r="AF85" s="75"/>
      <c r="AG85" s="75"/>
      <c r="AH85" s="75"/>
      <c r="AI85" s="75"/>
      <c r="AJ85" s="81"/>
      <c r="AK85" s="75"/>
      <c r="AL85" s="75"/>
    </row>
    <row r="86" spans="1:38" ht="15.75" hidden="1" thickBot="1" x14ac:dyDescent="0.3">
      <c r="A86" s="75"/>
      <c r="B86" s="75"/>
      <c r="C86" s="35">
        <f>INDEX(Données!$F$2:$L$54,MATCH(F86,Données!$F$2:$F$54,0),2)</f>
        <v>43920</v>
      </c>
      <c r="D86" s="29" t="str">
        <f t="shared" si="2"/>
        <v>#4</v>
      </c>
      <c r="E86" s="7">
        <f>Données!G15</f>
        <v>43920</v>
      </c>
      <c r="F86" s="6" t="str">
        <f>INDEX(Données!$F$2:$L$54,MATCH('#4'!E86,Données!$G$2:$G$54,1),1)</f>
        <v>14</v>
      </c>
      <c r="G86" s="18" t="str">
        <f t="shared" si="3"/>
        <v>PS-4</v>
      </c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1"/>
      <c r="W86" s="75"/>
      <c r="X86" s="75"/>
      <c r="Y86" s="75"/>
      <c r="Z86" s="96">
        <f>SUM(Tableau15[[#This Row],[A-1]:[G-5]])</f>
        <v>0</v>
      </c>
      <c r="AA86" s="96" t="str">
        <f>IF(AND(Z86&gt;0,Tableau15[[#This Row],[CDS]]=""),"Oui","Non")</f>
        <v>Non</v>
      </c>
      <c r="AB86" s="75"/>
      <c r="AC86" s="75"/>
      <c r="AD86" s="75"/>
      <c r="AE86" s="75"/>
      <c r="AF86" s="75"/>
      <c r="AG86" s="75"/>
      <c r="AH86" s="75"/>
      <c r="AI86" s="75"/>
      <c r="AJ86" s="81"/>
      <c r="AK86" s="75"/>
      <c r="AL86" s="75"/>
    </row>
    <row r="87" spans="1:38" ht="15.75" hidden="1" thickBot="1" x14ac:dyDescent="0.3">
      <c r="A87" s="75"/>
      <c r="B87" s="75"/>
      <c r="C87" s="35">
        <f>INDEX(Données!$F$2:$L$54,MATCH(F87,Données!$F$2:$F$54,0),2)</f>
        <v>43920</v>
      </c>
      <c r="D87" s="29" t="str">
        <f t="shared" si="2"/>
        <v>#4</v>
      </c>
      <c r="E87" s="7">
        <f>Données!H15</f>
        <v>43921</v>
      </c>
      <c r="F87" s="6" t="str">
        <f>INDEX(Données!$F$2:$L$54,MATCH('#4'!E87,Données!$G$2:$G$54,1),1)</f>
        <v>14</v>
      </c>
      <c r="G87" s="18" t="str">
        <f t="shared" si="3"/>
        <v>PS-4</v>
      </c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1"/>
      <c r="W87" s="75"/>
      <c r="X87" s="75"/>
      <c r="Y87" s="75"/>
      <c r="Z87" s="96">
        <f>SUM(Tableau15[[#This Row],[A-1]:[G-5]])</f>
        <v>0</v>
      </c>
      <c r="AA87" s="96" t="str">
        <f>IF(AND(Z87&gt;0,Tableau15[[#This Row],[CDS]]=""),"Oui","Non")</f>
        <v>Non</v>
      </c>
      <c r="AB87" s="75"/>
      <c r="AC87" s="75"/>
      <c r="AD87" s="75"/>
      <c r="AE87" s="75"/>
      <c r="AF87" s="75"/>
      <c r="AG87" s="75"/>
      <c r="AH87" s="75"/>
      <c r="AI87" s="75"/>
      <c r="AJ87" s="81"/>
      <c r="AK87" s="75"/>
      <c r="AL87" s="75"/>
    </row>
    <row r="88" spans="1:38" ht="15.75" hidden="1" thickBot="1" x14ac:dyDescent="0.3">
      <c r="A88" s="75"/>
      <c r="B88" s="75"/>
      <c r="C88" s="35">
        <f>INDEX(Données!$F$2:$L$54,MATCH(F88,Données!$F$2:$F$54,0),2)</f>
        <v>43920</v>
      </c>
      <c r="D88" s="29" t="str">
        <f t="shared" si="2"/>
        <v>#4</v>
      </c>
      <c r="E88" s="7">
        <f>Données!I15</f>
        <v>43922</v>
      </c>
      <c r="F88" s="6" t="str">
        <f>INDEX(Données!$F$2:$L$54,MATCH('#4'!E88,Données!$G$2:$G$54,1),1)</f>
        <v>14</v>
      </c>
      <c r="G88" s="18" t="str">
        <f t="shared" si="3"/>
        <v>PS-4</v>
      </c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1"/>
      <c r="W88" s="75"/>
      <c r="X88" s="75"/>
      <c r="Y88" s="75"/>
      <c r="Z88" s="96">
        <f>SUM(Tableau15[[#This Row],[A-1]:[G-5]])</f>
        <v>0</v>
      </c>
      <c r="AA88" s="96" t="str">
        <f>IF(AND(Z88&gt;0,Tableau15[[#This Row],[CDS]]=""),"Oui","Non")</f>
        <v>Non</v>
      </c>
      <c r="AB88" s="75"/>
      <c r="AC88" s="75"/>
      <c r="AD88" s="75"/>
      <c r="AE88" s="75"/>
      <c r="AF88" s="75"/>
      <c r="AG88" s="75"/>
      <c r="AH88" s="75"/>
      <c r="AI88" s="75"/>
      <c r="AJ88" s="81"/>
      <c r="AK88" s="75"/>
      <c r="AL88" s="75"/>
    </row>
    <row r="89" spans="1:38" ht="15.75" hidden="1" thickBot="1" x14ac:dyDescent="0.3">
      <c r="A89" s="75"/>
      <c r="B89" s="75"/>
      <c r="C89" s="35">
        <f>INDEX(Données!$F$2:$L$54,MATCH(F89,Données!$F$2:$F$54,0),2)</f>
        <v>43920</v>
      </c>
      <c r="D89" s="29" t="str">
        <f t="shared" si="2"/>
        <v>#4</v>
      </c>
      <c r="E89" s="7">
        <f>Données!J15</f>
        <v>43923</v>
      </c>
      <c r="F89" s="6" t="str">
        <f>INDEX(Données!$F$2:$L$54,MATCH('#4'!E89,Données!$G$2:$G$54,1),1)</f>
        <v>14</v>
      </c>
      <c r="G89" s="18" t="str">
        <f t="shared" si="3"/>
        <v>PS-4</v>
      </c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1"/>
      <c r="W89" s="75"/>
      <c r="X89" s="75"/>
      <c r="Y89" s="75"/>
      <c r="Z89" s="96">
        <f>SUM(Tableau15[[#This Row],[A-1]:[G-5]])</f>
        <v>0</v>
      </c>
      <c r="AA89" s="96" t="str">
        <f>IF(AND(Z89&gt;0,Tableau15[[#This Row],[CDS]]=""),"Oui","Non")</f>
        <v>Non</v>
      </c>
      <c r="AB89" s="75"/>
      <c r="AC89" s="75"/>
      <c r="AD89" s="75"/>
      <c r="AE89" s="75"/>
      <c r="AF89" s="75"/>
      <c r="AG89" s="75"/>
      <c r="AH89" s="75"/>
      <c r="AI89" s="75"/>
      <c r="AJ89" s="81"/>
      <c r="AK89" s="75"/>
      <c r="AL89" s="75"/>
    </row>
    <row r="90" spans="1:38" ht="15.75" hidden="1" thickBot="1" x14ac:dyDescent="0.3">
      <c r="A90" s="75"/>
      <c r="B90" s="75"/>
      <c r="C90" s="35">
        <f>INDEX(Données!$F$2:$L$54,MATCH(F90,Données!$F$2:$F$54,0),2)</f>
        <v>43920</v>
      </c>
      <c r="D90" s="29" t="str">
        <f t="shared" si="2"/>
        <v>#4</v>
      </c>
      <c r="E90" s="7">
        <f>Données!K15</f>
        <v>43924</v>
      </c>
      <c r="F90" s="6" t="str">
        <f>INDEX(Données!$F$2:$L$54,MATCH('#4'!E90,Données!$G$2:$G$54,1),1)</f>
        <v>14</v>
      </c>
      <c r="G90" s="18" t="str">
        <f t="shared" si="3"/>
        <v>PS-4</v>
      </c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1"/>
      <c r="W90" s="75"/>
      <c r="X90" s="75"/>
      <c r="Y90" s="75"/>
      <c r="Z90" s="96">
        <f>SUM(Tableau15[[#This Row],[A-1]:[G-5]])</f>
        <v>0</v>
      </c>
      <c r="AA90" s="96" t="str">
        <f>IF(AND(Z90&gt;0,Tableau15[[#This Row],[CDS]]=""),"Oui","Non")</f>
        <v>Non</v>
      </c>
      <c r="AB90" s="75"/>
      <c r="AC90" s="75"/>
      <c r="AD90" s="75"/>
      <c r="AE90" s="75"/>
      <c r="AF90" s="75"/>
      <c r="AG90" s="75"/>
      <c r="AH90" s="75"/>
      <c r="AI90" s="75"/>
      <c r="AJ90" s="81"/>
      <c r="AK90" s="75"/>
      <c r="AL90" s="75"/>
    </row>
    <row r="91" spans="1:38" ht="15.75" hidden="1" thickBot="1" x14ac:dyDescent="0.3">
      <c r="A91" s="75"/>
      <c r="B91" s="75"/>
      <c r="C91" s="35">
        <f>INDEX(Données!$F$2:$L$54,MATCH(F91,Données!$F$2:$F$54,0),2)</f>
        <v>43920</v>
      </c>
      <c r="D91" s="29" t="str">
        <f t="shared" si="2"/>
        <v>#4</v>
      </c>
      <c r="E91" s="7">
        <f>Données!L15</f>
        <v>43925</v>
      </c>
      <c r="F91" s="6" t="str">
        <f>INDEX(Données!$F$2:$L$54,MATCH('#4'!E91,Données!$G$2:$G$54,1),1)</f>
        <v>14</v>
      </c>
      <c r="G91" s="18" t="str">
        <f t="shared" si="3"/>
        <v>PS-4</v>
      </c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1"/>
      <c r="W91" s="75"/>
      <c r="X91" s="75"/>
      <c r="Y91" s="75"/>
      <c r="Z91" s="96">
        <f>SUM(Tableau15[[#This Row],[A-1]:[G-5]])</f>
        <v>0</v>
      </c>
      <c r="AA91" s="96" t="str">
        <f>IF(AND(Z91&gt;0,Tableau15[[#This Row],[CDS]]=""),"Oui","Non")</f>
        <v>Non</v>
      </c>
      <c r="AB91" s="75"/>
      <c r="AC91" s="75"/>
      <c r="AD91" s="75"/>
      <c r="AE91" s="75"/>
      <c r="AF91" s="75"/>
      <c r="AG91" s="75"/>
      <c r="AH91" s="75"/>
      <c r="AI91" s="75"/>
      <c r="AJ91" s="81"/>
      <c r="AK91" s="75"/>
      <c r="AL91" s="75"/>
    </row>
    <row r="92" spans="1:38" ht="15.75" hidden="1" thickBot="1" x14ac:dyDescent="0.3">
      <c r="A92" s="75"/>
      <c r="B92" s="75"/>
      <c r="C92" s="35">
        <f>INDEX(Données!$F$2:$L$54,MATCH(F92,Données!$F$2:$F$54,0),2)</f>
        <v>43927</v>
      </c>
      <c r="D92" s="29" t="str">
        <f t="shared" si="2"/>
        <v>#4</v>
      </c>
      <c r="E92" s="7">
        <f>Données!G16</f>
        <v>43927</v>
      </c>
      <c r="F92" s="6" t="str">
        <f>INDEX(Données!$F$2:$L$54,MATCH('#4'!E92,Données!$G$2:$G$54,1),1)</f>
        <v>15</v>
      </c>
      <c r="G92" s="18" t="str">
        <f t="shared" si="3"/>
        <v>PS-4</v>
      </c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1"/>
      <c r="W92" s="75"/>
      <c r="X92" s="75"/>
      <c r="Y92" s="75"/>
      <c r="Z92" s="96">
        <f>SUM(Tableau15[[#This Row],[A-1]:[G-5]])</f>
        <v>0</v>
      </c>
      <c r="AA92" s="96" t="str">
        <f>IF(AND(Z92&gt;0,Tableau15[[#This Row],[CDS]]=""),"Oui","Non")</f>
        <v>Non</v>
      </c>
      <c r="AB92" s="75"/>
      <c r="AC92" s="75"/>
      <c r="AD92" s="75"/>
      <c r="AE92" s="75"/>
      <c r="AF92" s="75"/>
      <c r="AG92" s="75"/>
      <c r="AH92" s="75"/>
      <c r="AI92" s="75"/>
      <c r="AJ92" s="81"/>
      <c r="AK92" s="75"/>
      <c r="AL92" s="75"/>
    </row>
    <row r="93" spans="1:38" ht="15.75" hidden="1" thickBot="1" x14ac:dyDescent="0.3">
      <c r="A93" s="75"/>
      <c r="B93" s="75"/>
      <c r="C93" s="35">
        <f>INDEX(Données!$F$2:$L$54,MATCH(F93,Données!$F$2:$F$54,0),2)</f>
        <v>43927</v>
      </c>
      <c r="D93" s="29" t="str">
        <f t="shared" si="2"/>
        <v>#4</v>
      </c>
      <c r="E93" s="7">
        <f>Données!H16</f>
        <v>43928</v>
      </c>
      <c r="F93" s="6" t="str">
        <f>INDEX(Données!$F$2:$L$54,MATCH('#4'!E93,Données!$G$2:$G$54,1),1)</f>
        <v>15</v>
      </c>
      <c r="G93" s="18" t="str">
        <f t="shared" si="3"/>
        <v>PS-4</v>
      </c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1"/>
      <c r="W93" s="75"/>
      <c r="X93" s="75"/>
      <c r="Y93" s="75"/>
      <c r="Z93" s="96">
        <f>SUM(Tableau15[[#This Row],[A-1]:[G-5]])</f>
        <v>0</v>
      </c>
      <c r="AA93" s="96" t="str">
        <f>IF(AND(Z93&gt;0,Tableau15[[#This Row],[CDS]]=""),"Oui","Non")</f>
        <v>Non</v>
      </c>
      <c r="AB93" s="75"/>
      <c r="AC93" s="75"/>
      <c r="AD93" s="75"/>
      <c r="AE93" s="75"/>
      <c r="AF93" s="75"/>
      <c r="AG93" s="75"/>
      <c r="AH93" s="75"/>
      <c r="AI93" s="75"/>
      <c r="AJ93" s="81"/>
      <c r="AK93" s="75"/>
      <c r="AL93" s="75"/>
    </row>
    <row r="94" spans="1:38" ht="15.75" hidden="1" thickBot="1" x14ac:dyDescent="0.3">
      <c r="A94" s="75"/>
      <c r="B94" s="75"/>
      <c r="C94" s="35">
        <f>INDEX(Données!$F$2:$L$54,MATCH(F94,Données!$F$2:$F$54,0),2)</f>
        <v>43927</v>
      </c>
      <c r="D94" s="29" t="str">
        <f t="shared" si="2"/>
        <v>#4</v>
      </c>
      <c r="E94" s="7">
        <f>Données!I16</f>
        <v>43929</v>
      </c>
      <c r="F94" s="6" t="str">
        <f>INDEX(Données!$F$2:$L$54,MATCH('#4'!E94,Données!$G$2:$G$54,1),1)</f>
        <v>15</v>
      </c>
      <c r="G94" s="18" t="str">
        <f t="shared" si="3"/>
        <v>PS-4</v>
      </c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1"/>
      <c r="W94" s="75"/>
      <c r="X94" s="75"/>
      <c r="Y94" s="75"/>
      <c r="Z94" s="96">
        <f>SUM(Tableau15[[#This Row],[A-1]:[G-5]])</f>
        <v>0</v>
      </c>
      <c r="AA94" s="96" t="str">
        <f>IF(AND(Z94&gt;0,Tableau15[[#This Row],[CDS]]=""),"Oui","Non")</f>
        <v>Non</v>
      </c>
      <c r="AB94" s="75"/>
      <c r="AC94" s="75"/>
      <c r="AD94" s="75"/>
      <c r="AE94" s="75"/>
      <c r="AF94" s="75"/>
      <c r="AG94" s="75"/>
      <c r="AH94" s="75"/>
      <c r="AI94" s="75"/>
      <c r="AJ94" s="81"/>
      <c r="AK94" s="75"/>
      <c r="AL94" s="75"/>
    </row>
    <row r="95" spans="1:38" ht="15.75" hidden="1" thickBot="1" x14ac:dyDescent="0.3">
      <c r="A95" s="75"/>
      <c r="B95" s="75"/>
      <c r="C95" s="35">
        <f>INDEX(Données!$F$2:$L$54,MATCH(F95,Données!$F$2:$F$54,0),2)</f>
        <v>43927</v>
      </c>
      <c r="D95" s="29" t="str">
        <f t="shared" si="2"/>
        <v>#4</v>
      </c>
      <c r="E95" s="7">
        <f>Données!J16</f>
        <v>43930</v>
      </c>
      <c r="F95" s="6" t="str">
        <f>INDEX(Données!$F$2:$L$54,MATCH('#4'!E95,Données!$G$2:$G$54,1),1)</f>
        <v>15</v>
      </c>
      <c r="G95" s="18" t="str">
        <f t="shared" si="3"/>
        <v>PS-4</v>
      </c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1"/>
      <c r="W95" s="75"/>
      <c r="X95" s="75"/>
      <c r="Y95" s="75"/>
      <c r="Z95" s="96">
        <f>SUM(Tableau15[[#This Row],[A-1]:[G-5]])</f>
        <v>0</v>
      </c>
      <c r="AA95" s="96" t="str">
        <f>IF(AND(Z95&gt;0,Tableau15[[#This Row],[CDS]]=""),"Oui","Non")</f>
        <v>Non</v>
      </c>
      <c r="AB95" s="75"/>
      <c r="AC95" s="75"/>
      <c r="AD95" s="75"/>
      <c r="AE95" s="75"/>
      <c r="AF95" s="75"/>
      <c r="AG95" s="75"/>
      <c r="AH95" s="75"/>
      <c r="AI95" s="75"/>
      <c r="AJ95" s="81"/>
      <c r="AK95" s="75"/>
      <c r="AL95" s="75"/>
    </row>
    <row r="96" spans="1:38" ht="15.75" hidden="1" thickBot="1" x14ac:dyDescent="0.3">
      <c r="A96" s="75"/>
      <c r="B96" s="75"/>
      <c r="C96" s="35">
        <f>INDEX(Données!$F$2:$L$54,MATCH(F96,Données!$F$2:$F$54,0),2)</f>
        <v>43927</v>
      </c>
      <c r="D96" s="29" t="str">
        <f t="shared" si="2"/>
        <v>#4</v>
      </c>
      <c r="E96" s="7">
        <f>Données!K16</f>
        <v>43931</v>
      </c>
      <c r="F96" s="6" t="str">
        <f>INDEX(Données!$F$2:$L$54,MATCH('#4'!E96,Données!$G$2:$G$54,1),1)</f>
        <v>15</v>
      </c>
      <c r="G96" s="18" t="str">
        <f t="shared" si="3"/>
        <v>PS-4</v>
      </c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1"/>
      <c r="W96" s="75"/>
      <c r="X96" s="75"/>
      <c r="Y96" s="75"/>
      <c r="Z96" s="96">
        <f>SUM(Tableau15[[#This Row],[A-1]:[G-5]])</f>
        <v>0</v>
      </c>
      <c r="AA96" s="96" t="str">
        <f>IF(AND(Z96&gt;0,Tableau15[[#This Row],[CDS]]=""),"Oui","Non")</f>
        <v>Non</v>
      </c>
      <c r="AB96" s="75"/>
      <c r="AC96" s="75"/>
      <c r="AD96" s="75"/>
      <c r="AE96" s="75"/>
      <c r="AF96" s="75"/>
      <c r="AG96" s="75"/>
      <c r="AH96" s="75"/>
      <c r="AI96" s="75"/>
      <c r="AJ96" s="81"/>
      <c r="AK96" s="75"/>
      <c r="AL96" s="75"/>
    </row>
    <row r="97" spans="1:38" ht="15.75" hidden="1" thickBot="1" x14ac:dyDescent="0.3">
      <c r="A97" s="75"/>
      <c r="B97" s="75"/>
      <c r="C97" s="35">
        <f>INDEX(Données!$F$2:$L$54,MATCH(F97,Données!$F$2:$F$54,0),2)</f>
        <v>43927</v>
      </c>
      <c r="D97" s="29" t="str">
        <f t="shared" si="2"/>
        <v>#4</v>
      </c>
      <c r="E97" s="7">
        <f>Données!L16</f>
        <v>43932</v>
      </c>
      <c r="F97" s="6" t="str">
        <f>INDEX(Données!$F$2:$L$54,MATCH('#4'!E97,Données!$G$2:$G$54,1),1)</f>
        <v>15</v>
      </c>
      <c r="G97" s="18" t="str">
        <f t="shared" si="3"/>
        <v>PS-4</v>
      </c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1"/>
      <c r="W97" s="75"/>
      <c r="X97" s="75"/>
      <c r="Y97" s="75"/>
      <c r="Z97" s="96">
        <f>SUM(Tableau15[[#This Row],[A-1]:[G-5]])</f>
        <v>0</v>
      </c>
      <c r="AA97" s="96" t="str">
        <f>IF(AND(Z97&gt;0,Tableau15[[#This Row],[CDS]]=""),"Oui","Non")</f>
        <v>Non</v>
      </c>
      <c r="AB97" s="75"/>
      <c r="AC97" s="75"/>
      <c r="AD97" s="75"/>
      <c r="AE97" s="75"/>
      <c r="AF97" s="75"/>
      <c r="AG97" s="75"/>
      <c r="AH97" s="75"/>
      <c r="AI97" s="75"/>
      <c r="AJ97" s="81"/>
      <c r="AK97" s="75"/>
      <c r="AL97" s="75"/>
    </row>
    <row r="98" spans="1:38" ht="15.75" hidden="1" thickBot="1" x14ac:dyDescent="0.3">
      <c r="A98" s="75"/>
      <c r="B98" s="75"/>
      <c r="C98" s="35">
        <f>INDEX(Données!$F$2:$L$54,MATCH(F98,Données!$F$2:$F$54,0),2)</f>
        <v>43934</v>
      </c>
      <c r="D98" s="29" t="str">
        <f t="shared" si="2"/>
        <v>#4</v>
      </c>
      <c r="E98" s="7">
        <f>Données!G17</f>
        <v>43934</v>
      </c>
      <c r="F98" s="6" t="str">
        <f>INDEX(Données!$F$2:$L$54,MATCH('#4'!E98,Données!$G$2:$G$54,1),1)</f>
        <v>16</v>
      </c>
      <c r="G98" s="18" t="str">
        <f t="shared" si="3"/>
        <v>PS-4</v>
      </c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1"/>
      <c r="W98" s="75"/>
      <c r="X98" s="75"/>
      <c r="Y98" s="75"/>
      <c r="Z98" s="96">
        <f>SUM(Tableau15[[#This Row],[A-1]:[G-5]])</f>
        <v>0</v>
      </c>
      <c r="AA98" s="96" t="str">
        <f>IF(AND(Z98&gt;0,Tableau15[[#This Row],[CDS]]=""),"Oui","Non")</f>
        <v>Non</v>
      </c>
      <c r="AB98" s="75"/>
      <c r="AC98" s="75"/>
      <c r="AD98" s="75"/>
      <c r="AE98" s="75"/>
      <c r="AF98" s="75"/>
      <c r="AG98" s="75"/>
      <c r="AH98" s="75"/>
      <c r="AI98" s="75"/>
      <c r="AJ98" s="81"/>
      <c r="AK98" s="75"/>
      <c r="AL98" s="75"/>
    </row>
    <row r="99" spans="1:38" ht="15.75" hidden="1" thickBot="1" x14ac:dyDescent="0.3">
      <c r="A99" s="75"/>
      <c r="B99" s="75"/>
      <c r="C99" s="35">
        <f>INDEX(Données!$F$2:$L$54,MATCH(F99,Données!$F$2:$F$54,0),2)</f>
        <v>43934</v>
      </c>
      <c r="D99" s="29" t="str">
        <f t="shared" si="2"/>
        <v>#4</v>
      </c>
      <c r="E99" s="7">
        <f>Données!H17</f>
        <v>43935</v>
      </c>
      <c r="F99" s="6" t="str">
        <f>INDEX(Données!$F$2:$L$54,MATCH('#4'!E99,Données!$G$2:$G$54,1),1)</f>
        <v>16</v>
      </c>
      <c r="G99" s="18" t="str">
        <f t="shared" si="3"/>
        <v>PS-4</v>
      </c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1"/>
      <c r="W99" s="75"/>
      <c r="X99" s="75"/>
      <c r="Y99" s="75"/>
      <c r="Z99" s="96">
        <f>SUM(Tableau15[[#This Row],[A-1]:[G-5]])</f>
        <v>0</v>
      </c>
      <c r="AA99" s="96" t="str">
        <f>IF(AND(Z99&gt;0,Tableau15[[#This Row],[CDS]]=""),"Oui","Non")</f>
        <v>Non</v>
      </c>
      <c r="AB99" s="75"/>
      <c r="AC99" s="75"/>
      <c r="AD99" s="75"/>
      <c r="AE99" s="75"/>
      <c r="AF99" s="75"/>
      <c r="AG99" s="75"/>
      <c r="AH99" s="75"/>
      <c r="AI99" s="75"/>
      <c r="AJ99" s="81"/>
      <c r="AK99" s="75"/>
      <c r="AL99" s="75"/>
    </row>
    <row r="100" spans="1:38" ht="15.75" hidden="1" thickBot="1" x14ac:dyDescent="0.3">
      <c r="A100" s="75"/>
      <c r="B100" s="75"/>
      <c r="C100" s="35">
        <f>INDEX(Données!$F$2:$L$54,MATCH(F100,Données!$F$2:$F$54,0),2)</f>
        <v>43934</v>
      </c>
      <c r="D100" s="29" t="str">
        <f t="shared" si="2"/>
        <v>#4</v>
      </c>
      <c r="E100" s="7">
        <f>Données!I17</f>
        <v>43936</v>
      </c>
      <c r="F100" s="6" t="str">
        <f>INDEX(Données!$F$2:$L$54,MATCH('#4'!E100,Données!$G$2:$G$54,1),1)</f>
        <v>16</v>
      </c>
      <c r="G100" s="18" t="str">
        <f t="shared" si="3"/>
        <v>PS-4</v>
      </c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1"/>
      <c r="W100" s="75"/>
      <c r="X100" s="75"/>
      <c r="Y100" s="75"/>
      <c r="Z100" s="96">
        <f>SUM(Tableau15[[#This Row],[A-1]:[G-5]])</f>
        <v>0</v>
      </c>
      <c r="AA100" s="96" t="str">
        <f>IF(AND(Z100&gt;0,Tableau15[[#This Row],[CDS]]=""),"Oui","Non")</f>
        <v>Non</v>
      </c>
      <c r="AB100" s="75"/>
      <c r="AC100" s="75"/>
      <c r="AD100" s="75"/>
      <c r="AE100" s="75"/>
      <c r="AF100" s="75"/>
      <c r="AG100" s="75"/>
      <c r="AH100" s="75"/>
      <c r="AI100" s="75"/>
      <c r="AJ100" s="81"/>
      <c r="AK100" s="75"/>
      <c r="AL100" s="75"/>
    </row>
    <row r="101" spans="1:38" ht="15.75" hidden="1" thickBot="1" x14ac:dyDescent="0.3">
      <c r="A101" s="75"/>
      <c r="B101" s="75"/>
      <c r="C101" s="35">
        <f>INDEX(Données!$F$2:$L$54,MATCH(F101,Données!$F$2:$F$54,0),2)</f>
        <v>43934</v>
      </c>
      <c r="D101" s="29" t="str">
        <f t="shared" si="2"/>
        <v>#4</v>
      </c>
      <c r="E101" s="7">
        <f>Données!J17</f>
        <v>43937</v>
      </c>
      <c r="F101" s="6" t="str">
        <f>INDEX(Données!$F$2:$L$54,MATCH('#4'!E101,Données!$G$2:$G$54,1),1)</f>
        <v>16</v>
      </c>
      <c r="G101" s="18" t="str">
        <f t="shared" si="3"/>
        <v>PS-4</v>
      </c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1"/>
      <c r="W101" s="75"/>
      <c r="X101" s="75"/>
      <c r="Y101" s="75"/>
      <c r="Z101" s="96">
        <f>SUM(Tableau15[[#This Row],[A-1]:[G-5]])</f>
        <v>0</v>
      </c>
      <c r="AA101" s="96" t="str">
        <f>IF(AND(Z101&gt;0,Tableau15[[#This Row],[CDS]]=""),"Oui","Non")</f>
        <v>Non</v>
      </c>
      <c r="AB101" s="75"/>
      <c r="AC101" s="75"/>
      <c r="AD101" s="75"/>
      <c r="AE101" s="75"/>
      <c r="AF101" s="75"/>
      <c r="AG101" s="75"/>
      <c r="AH101" s="75"/>
      <c r="AI101" s="75"/>
      <c r="AJ101" s="81"/>
      <c r="AK101" s="75"/>
      <c r="AL101" s="75"/>
    </row>
    <row r="102" spans="1:38" ht="15.75" hidden="1" thickBot="1" x14ac:dyDescent="0.3">
      <c r="A102" s="75"/>
      <c r="B102" s="75"/>
      <c r="C102" s="35">
        <f>INDEX(Données!$F$2:$L$54,MATCH(F102,Données!$F$2:$F$54,0),2)</f>
        <v>43934</v>
      </c>
      <c r="D102" s="29" t="str">
        <f t="shared" si="2"/>
        <v>#4</v>
      </c>
      <c r="E102" s="7">
        <f>Données!K17</f>
        <v>43938</v>
      </c>
      <c r="F102" s="6" t="str">
        <f>INDEX(Données!$F$2:$L$54,MATCH('#4'!E102,Données!$G$2:$G$54,1),1)</f>
        <v>16</v>
      </c>
      <c r="G102" s="18" t="str">
        <f t="shared" si="3"/>
        <v>PS-4</v>
      </c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1"/>
      <c r="W102" s="75"/>
      <c r="X102" s="75"/>
      <c r="Y102" s="75"/>
      <c r="Z102" s="96">
        <f>SUM(Tableau15[[#This Row],[A-1]:[G-5]])</f>
        <v>0</v>
      </c>
      <c r="AA102" s="96" t="str">
        <f>IF(AND(Z102&gt;0,Tableau15[[#This Row],[CDS]]=""),"Oui","Non")</f>
        <v>Non</v>
      </c>
      <c r="AB102" s="75"/>
      <c r="AC102" s="75"/>
      <c r="AD102" s="75"/>
      <c r="AE102" s="75"/>
      <c r="AF102" s="75"/>
      <c r="AG102" s="75"/>
      <c r="AH102" s="75"/>
      <c r="AI102" s="75"/>
      <c r="AJ102" s="81"/>
      <c r="AK102" s="75"/>
      <c r="AL102" s="75"/>
    </row>
    <row r="103" spans="1:38" ht="15.75" hidden="1" thickBot="1" x14ac:dyDescent="0.3">
      <c r="A103" s="75"/>
      <c r="B103" s="75"/>
      <c r="C103" s="35">
        <f>INDEX(Données!$F$2:$L$54,MATCH(F103,Données!$F$2:$F$54,0),2)</f>
        <v>43934</v>
      </c>
      <c r="D103" s="29" t="str">
        <f t="shared" si="2"/>
        <v>#4</v>
      </c>
      <c r="E103" s="7">
        <f>Données!L17</f>
        <v>43939</v>
      </c>
      <c r="F103" s="6" t="str">
        <f>INDEX(Données!$F$2:$L$54,MATCH('#4'!E103,Données!$G$2:$G$54,1),1)</f>
        <v>16</v>
      </c>
      <c r="G103" s="18" t="str">
        <f t="shared" si="3"/>
        <v>PS-4</v>
      </c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1"/>
      <c r="W103" s="75"/>
      <c r="X103" s="75"/>
      <c r="Y103" s="75"/>
      <c r="Z103" s="96">
        <f>SUM(Tableau15[[#This Row],[A-1]:[G-5]])</f>
        <v>0</v>
      </c>
      <c r="AA103" s="96" t="str">
        <f>IF(AND(Z103&gt;0,Tableau15[[#This Row],[CDS]]=""),"Oui","Non")</f>
        <v>Non</v>
      </c>
      <c r="AB103" s="75"/>
      <c r="AC103" s="75"/>
      <c r="AD103" s="75"/>
      <c r="AE103" s="75"/>
      <c r="AF103" s="75"/>
      <c r="AG103" s="75"/>
      <c r="AH103" s="75"/>
      <c r="AI103" s="75"/>
      <c r="AJ103" s="81"/>
      <c r="AK103" s="75"/>
      <c r="AL103" s="75"/>
    </row>
    <row r="104" spans="1:38" ht="15.75" hidden="1" thickBot="1" x14ac:dyDescent="0.3">
      <c r="A104" s="75"/>
      <c r="B104" s="75"/>
      <c r="C104" s="35">
        <f>INDEX(Données!$F$2:$L$54,MATCH(F104,Données!$F$2:$F$54,0),2)</f>
        <v>43941</v>
      </c>
      <c r="D104" s="29" t="str">
        <f t="shared" si="2"/>
        <v>#4</v>
      </c>
      <c r="E104" s="7">
        <f>Données!G18</f>
        <v>43941</v>
      </c>
      <c r="F104" s="6" t="str">
        <f>INDEX(Données!$F$2:$L$54,MATCH('#4'!E104,Données!$G$2:$G$54,1),1)</f>
        <v>17</v>
      </c>
      <c r="G104" s="18" t="str">
        <f t="shared" si="3"/>
        <v>PS-4</v>
      </c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1"/>
      <c r="W104" s="75"/>
      <c r="X104" s="75"/>
      <c r="Y104" s="75"/>
      <c r="Z104" s="96">
        <f>SUM(Tableau15[[#This Row],[A-1]:[G-5]])</f>
        <v>0</v>
      </c>
      <c r="AA104" s="96" t="str">
        <f>IF(AND(Z104&gt;0,Tableau15[[#This Row],[CDS]]=""),"Oui","Non")</f>
        <v>Non</v>
      </c>
      <c r="AB104" s="75"/>
      <c r="AC104" s="75"/>
      <c r="AD104" s="75"/>
      <c r="AE104" s="75"/>
      <c r="AF104" s="75"/>
      <c r="AG104" s="75"/>
      <c r="AH104" s="75"/>
      <c r="AI104" s="75"/>
      <c r="AJ104" s="81"/>
      <c r="AK104" s="75"/>
      <c r="AL104" s="75"/>
    </row>
    <row r="105" spans="1:38" ht="15.75" hidden="1" thickBot="1" x14ac:dyDescent="0.3">
      <c r="A105" s="75"/>
      <c r="B105" s="75"/>
      <c r="C105" s="35">
        <f>INDEX(Données!$F$2:$L$54,MATCH(F105,Données!$F$2:$F$54,0),2)</f>
        <v>43941</v>
      </c>
      <c r="D105" s="29" t="str">
        <f t="shared" si="2"/>
        <v>#4</v>
      </c>
      <c r="E105" s="7">
        <f>Données!H18</f>
        <v>43942</v>
      </c>
      <c r="F105" s="6" t="str">
        <f>INDEX(Données!$F$2:$L$54,MATCH('#4'!E105,Données!$G$2:$G$54,1),1)</f>
        <v>17</v>
      </c>
      <c r="G105" s="18" t="str">
        <f t="shared" si="3"/>
        <v>PS-4</v>
      </c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1"/>
      <c r="W105" s="75"/>
      <c r="X105" s="75"/>
      <c r="Y105" s="75"/>
      <c r="Z105" s="96">
        <f>SUM(Tableau15[[#This Row],[A-1]:[G-5]])</f>
        <v>0</v>
      </c>
      <c r="AA105" s="96" t="str">
        <f>IF(AND(Z105&gt;0,Tableau15[[#This Row],[CDS]]=""),"Oui","Non")</f>
        <v>Non</v>
      </c>
      <c r="AB105" s="75"/>
      <c r="AC105" s="75"/>
      <c r="AD105" s="75"/>
      <c r="AE105" s="75"/>
      <c r="AF105" s="75"/>
      <c r="AG105" s="75"/>
      <c r="AH105" s="75"/>
      <c r="AI105" s="75"/>
      <c r="AJ105" s="81"/>
      <c r="AK105" s="75"/>
      <c r="AL105" s="75"/>
    </row>
    <row r="106" spans="1:38" ht="15.75" hidden="1" thickBot="1" x14ac:dyDescent="0.3">
      <c r="A106" s="75"/>
      <c r="B106" s="75"/>
      <c r="C106" s="35">
        <f>INDEX(Données!$F$2:$L$54,MATCH(F106,Données!$F$2:$F$54,0),2)</f>
        <v>43941</v>
      </c>
      <c r="D106" s="29" t="str">
        <f t="shared" si="2"/>
        <v>#4</v>
      </c>
      <c r="E106" s="7">
        <f>Données!I18</f>
        <v>43943</v>
      </c>
      <c r="F106" s="6" t="str">
        <f>INDEX(Données!$F$2:$L$54,MATCH('#4'!E106,Données!$G$2:$G$54,1),1)</f>
        <v>17</v>
      </c>
      <c r="G106" s="18" t="str">
        <f t="shared" si="3"/>
        <v>PS-4</v>
      </c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1"/>
      <c r="W106" s="75"/>
      <c r="X106" s="75"/>
      <c r="Y106" s="75"/>
      <c r="Z106" s="96">
        <f>SUM(Tableau15[[#This Row],[A-1]:[G-5]])</f>
        <v>0</v>
      </c>
      <c r="AA106" s="96" t="str">
        <f>IF(AND(Z106&gt;0,Tableau15[[#This Row],[CDS]]=""),"Oui","Non")</f>
        <v>Non</v>
      </c>
      <c r="AB106" s="75"/>
      <c r="AC106" s="75"/>
      <c r="AD106" s="75"/>
      <c r="AE106" s="75"/>
      <c r="AF106" s="75"/>
      <c r="AG106" s="75"/>
      <c r="AH106" s="75"/>
      <c r="AI106" s="75"/>
      <c r="AJ106" s="81"/>
      <c r="AK106" s="75"/>
      <c r="AL106" s="75"/>
    </row>
    <row r="107" spans="1:38" ht="15.75" hidden="1" thickBot="1" x14ac:dyDescent="0.3">
      <c r="A107" s="75"/>
      <c r="B107" s="75"/>
      <c r="C107" s="35">
        <f>INDEX(Données!$F$2:$L$54,MATCH(F107,Données!$F$2:$F$54,0),2)</f>
        <v>43941</v>
      </c>
      <c r="D107" s="29" t="str">
        <f t="shared" si="2"/>
        <v>#4</v>
      </c>
      <c r="E107" s="7">
        <f>Données!J18</f>
        <v>43944</v>
      </c>
      <c r="F107" s="6" t="str">
        <f>INDEX(Données!$F$2:$L$54,MATCH('#4'!E107,Données!$G$2:$G$54,1),1)</f>
        <v>17</v>
      </c>
      <c r="G107" s="18" t="str">
        <f t="shared" si="3"/>
        <v>PS-4</v>
      </c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1"/>
      <c r="W107" s="75"/>
      <c r="X107" s="75"/>
      <c r="Y107" s="75"/>
      <c r="Z107" s="96">
        <f>SUM(Tableau15[[#This Row],[A-1]:[G-5]])</f>
        <v>0</v>
      </c>
      <c r="AA107" s="96" t="str">
        <f>IF(AND(Z107&gt;0,Tableau15[[#This Row],[CDS]]=""),"Oui","Non")</f>
        <v>Non</v>
      </c>
      <c r="AB107" s="75"/>
      <c r="AC107" s="75"/>
      <c r="AD107" s="75"/>
      <c r="AE107" s="75"/>
      <c r="AF107" s="75"/>
      <c r="AG107" s="75"/>
      <c r="AH107" s="75"/>
      <c r="AI107" s="75"/>
      <c r="AJ107" s="81"/>
      <c r="AK107" s="75"/>
      <c r="AL107" s="75"/>
    </row>
    <row r="108" spans="1:38" ht="15.75" hidden="1" thickBot="1" x14ac:dyDescent="0.3">
      <c r="A108" s="75"/>
      <c r="B108" s="75"/>
      <c r="C108" s="35">
        <f>INDEX(Données!$F$2:$L$54,MATCH(F108,Données!$F$2:$F$54,0),2)</f>
        <v>43941</v>
      </c>
      <c r="D108" s="29" t="str">
        <f t="shared" si="2"/>
        <v>#4</v>
      </c>
      <c r="E108" s="7">
        <f>Données!K18</f>
        <v>43945</v>
      </c>
      <c r="F108" s="6" t="str">
        <f>INDEX(Données!$F$2:$L$54,MATCH('#4'!E108,Données!$G$2:$G$54,1),1)</f>
        <v>17</v>
      </c>
      <c r="G108" s="18" t="str">
        <f t="shared" si="3"/>
        <v>PS-4</v>
      </c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1"/>
      <c r="W108" s="75"/>
      <c r="X108" s="75"/>
      <c r="Y108" s="75"/>
      <c r="Z108" s="96">
        <f>SUM(Tableau15[[#This Row],[A-1]:[G-5]])</f>
        <v>0</v>
      </c>
      <c r="AA108" s="96" t="str">
        <f>IF(AND(Z108&gt;0,Tableau15[[#This Row],[CDS]]=""),"Oui","Non")</f>
        <v>Non</v>
      </c>
      <c r="AB108" s="75"/>
      <c r="AC108" s="75"/>
      <c r="AD108" s="75"/>
      <c r="AE108" s="75"/>
      <c r="AF108" s="75"/>
      <c r="AG108" s="75"/>
      <c r="AH108" s="75"/>
      <c r="AI108" s="75"/>
      <c r="AJ108" s="81"/>
      <c r="AK108" s="75"/>
      <c r="AL108" s="75"/>
    </row>
    <row r="109" spans="1:38" ht="15.75" hidden="1" thickBot="1" x14ac:dyDescent="0.3">
      <c r="A109" s="75"/>
      <c r="B109" s="75"/>
      <c r="C109" s="35">
        <f>INDEX(Données!$F$2:$L$54,MATCH(F109,Données!$F$2:$F$54,0),2)</f>
        <v>43941</v>
      </c>
      <c r="D109" s="29" t="str">
        <f t="shared" si="2"/>
        <v>#4</v>
      </c>
      <c r="E109" s="7">
        <f>Données!L18</f>
        <v>43946</v>
      </c>
      <c r="F109" s="6" t="str">
        <f>INDEX(Données!$F$2:$L$54,MATCH('#4'!E109,Données!$G$2:$G$54,1),1)</f>
        <v>17</v>
      </c>
      <c r="G109" s="18" t="str">
        <f t="shared" si="3"/>
        <v>PS-4</v>
      </c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1"/>
      <c r="W109" s="75"/>
      <c r="X109" s="75"/>
      <c r="Y109" s="75"/>
      <c r="Z109" s="96">
        <f>SUM(Tableau15[[#This Row],[A-1]:[G-5]])</f>
        <v>0</v>
      </c>
      <c r="AA109" s="96" t="str">
        <f>IF(AND(Z109&gt;0,Tableau15[[#This Row],[CDS]]=""),"Oui","Non")</f>
        <v>Non</v>
      </c>
      <c r="AB109" s="75"/>
      <c r="AC109" s="75"/>
      <c r="AD109" s="75"/>
      <c r="AE109" s="75"/>
      <c r="AF109" s="75"/>
      <c r="AG109" s="75"/>
      <c r="AH109" s="75"/>
      <c r="AI109" s="75"/>
      <c r="AJ109" s="81"/>
      <c r="AK109" s="75"/>
      <c r="AL109" s="75"/>
    </row>
    <row r="110" spans="1:38" ht="15.75" hidden="1" thickBot="1" x14ac:dyDescent="0.3">
      <c r="A110" s="75"/>
      <c r="B110" s="75"/>
      <c r="C110" s="35">
        <f>INDEX(Données!$F$2:$L$54,MATCH(F110,Données!$F$2:$F$54,0),2)</f>
        <v>43948</v>
      </c>
      <c r="D110" s="29" t="str">
        <f t="shared" si="2"/>
        <v>#4</v>
      </c>
      <c r="E110" s="7">
        <f>Données!G19</f>
        <v>43948</v>
      </c>
      <c r="F110" s="6" t="str">
        <f>INDEX(Données!$F$2:$L$54,MATCH('#4'!E110,Données!$G$2:$G$54,1),1)</f>
        <v>18</v>
      </c>
      <c r="G110" s="18" t="str">
        <f t="shared" si="3"/>
        <v>PS-4</v>
      </c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1"/>
      <c r="W110" s="75"/>
      <c r="X110" s="75"/>
      <c r="Y110" s="75"/>
      <c r="Z110" s="96">
        <f>SUM(Tableau15[[#This Row],[A-1]:[G-5]])</f>
        <v>0</v>
      </c>
      <c r="AA110" s="96" t="str">
        <f>IF(AND(Z110&gt;0,Tableau15[[#This Row],[CDS]]=""),"Oui","Non")</f>
        <v>Non</v>
      </c>
      <c r="AB110" s="75"/>
      <c r="AC110" s="75"/>
      <c r="AD110" s="75"/>
      <c r="AE110" s="75"/>
      <c r="AF110" s="75"/>
      <c r="AG110" s="75"/>
      <c r="AH110" s="75"/>
      <c r="AI110" s="75"/>
      <c r="AJ110" s="81"/>
      <c r="AK110" s="75"/>
      <c r="AL110" s="75"/>
    </row>
    <row r="111" spans="1:38" ht="15.75" hidden="1" thickBot="1" x14ac:dyDescent="0.3">
      <c r="A111" s="75"/>
      <c r="B111" s="75"/>
      <c r="C111" s="35">
        <f>INDEX(Données!$F$2:$L$54,MATCH(F111,Données!$F$2:$F$54,0),2)</f>
        <v>43948</v>
      </c>
      <c r="D111" s="29" t="str">
        <f t="shared" si="2"/>
        <v>#4</v>
      </c>
      <c r="E111" s="7">
        <f>Données!H19</f>
        <v>43949</v>
      </c>
      <c r="F111" s="6" t="str">
        <f>INDEX(Données!$F$2:$L$54,MATCH('#4'!E111,Données!$G$2:$G$54,1),1)</f>
        <v>18</v>
      </c>
      <c r="G111" s="18" t="str">
        <f t="shared" si="3"/>
        <v>PS-4</v>
      </c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1"/>
      <c r="W111" s="75"/>
      <c r="X111" s="75"/>
      <c r="Y111" s="75"/>
      <c r="Z111" s="96">
        <f>SUM(Tableau15[[#This Row],[A-1]:[G-5]])</f>
        <v>0</v>
      </c>
      <c r="AA111" s="96" t="str">
        <f>IF(AND(Z111&gt;0,Tableau15[[#This Row],[CDS]]=""),"Oui","Non")</f>
        <v>Non</v>
      </c>
      <c r="AB111" s="75"/>
      <c r="AC111" s="75"/>
      <c r="AD111" s="75"/>
      <c r="AE111" s="75"/>
      <c r="AF111" s="75"/>
      <c r="AG111" s="75"/>
      <c r="AH111" s="75"/>
      <c r="AI111" s="75"/>
      <c r="AJ111" s="81"/>
      <c r="AK111" s="75"/>
      <c r="AL111" s="75"/>
    </row>
    <row r="112" spans="1:38" ht="15.75" hidden="1" thickBot="1" x14ac:dyDescent="0.3">
      <c r="A112" s="75"/>
      <c r="B112" s="75"/>
      <c r="C112" s="35">
        <f>INDEX(Données!$F$2:$L$54,MATCH(F112,Données!$F$2:$F$54,0),2)</f>
        <v>43948</v>
      </c>
      <c r="D112" s="29" t="str">
        <f t="shared" si="2"/>
        <v>#4</v>
      </c>
      <c r="E112" s="7">
        <f>Données!I19</f>
        <v>43950</v>
      </c>
      <c r="F112" s="6" t="str">
        <f>INDEX(Données!$F$2:$L$54,MATCH('#4'!E112,Données!$G$2:$G$54,1),1)</f>
        <v>18</v>
      </c>
      <c r="G112" s="18" t="str">
        <f t="shared" si="3"/>
        <v>PS-4</v>
      </c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1"/>
      <c r="W112" s="75"/>
      <c r="X112" s="75"/>
      <c r="Y112" s="75"/>
      <c r="Z112" s="96">
        <f>SUM(Tableau15[[#This Row],[A-1]:[G-5]])</f>
        <v>0</v>
      </c>
      <c r="AA112" s="96" t="str">
        <f>IF(AND(Z112&gt;0,Tableau15[[#This Row],[CDS]]=""),"Oui","Non")</f>
        <v>Non</v>
      </c>
      <c r="AB112" s="75"/>
      <c r="AC112" s="75"/>
      <c r="AD112" s="75"/>
      <c r="AE112" s="75"/>
      <c r="AF112" s="75"/>
      <c r="AG112" s="75"/>
      <c r="AH112" s="75"/>
      <c r="AI112" s="75"/>
      <c r="AJ112" s="81"/>
      <c r="AK112" s="75"/>
      <c r="AL112" s="75"/>
    </row>
    <row r="113" spans="1:38" ht="15.75" hidden="1" thickBot="1" x14ac:dyDescent="0.3">
      <c r="A113" s="75"/>
      <c r="B113" s="75"/>
      <c r="C113" s="35">
        <f>INDEX(Données!$F$2:$L$54,MATCH(F113,Données!$F$2:$F$54,0),2)</f>
        <v>43948</v>
      </c>
      <c r="D113" s="29" t="str">
        <f t="shared" si="2"/>
        <v>#4</v>
      </c>
      <c r="E113" s="7">
        <f>Données!J19</f>
        <v>43951</v>
      </c>
      <c r="F113" s="6" t="str">
        <f>INDEX(Données!$F$2:$L$54,MATCH('#4'!E113,Données!$G$2:$G$54,1),1)</f>
        <v>18</v>
      </c>
      <c r="G113" s="18" t="str">
        <f t="shared" si="3"/>
        <v>PS-4</v>
      </c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1"/>
      <c r="W113" s="75"/>
      <c r="X113" s="75"/>
      <c r="Y113" s="75"/>
      <c r="Z113" s="96">
        <f>SUM(Tableau15[[#This Row],[A-1]:[G-5]])</f>
        <v>0</v>
      </c>
      <c r="AA113" s="96" t="str">
        <f>IF(AND(Z113&gt;0,Tableau15[[#This Row],[CDS]]=""),"Oui","Non")</f>
        <v>Non</v>
      </c>
      <c r="AB113" s="75"/>
      <c r="AC113" s="75"/>
      <c r="AD113" s="75"/>
      <c r="AE113" s="75"/>
      <c r="AF113" s="75"/>
      <c r="AG113" s="75"/>
      <c r="AH113" s="75"/>
      <c r="AI113" s="75"/>
      <c r="AJ113" s="81"/>
      <c r="AK113" s="75"/>
      <c r="AL113" s="75"/>
    </row>
    <row r="114" spans="1:38" ht="15.75" hidden="1" thickBot="1" x14ac:dyDescent="0.3">
      <c r="A114" s="75"/>
      <c r="B114" s="75"/>
      <c r="C114" s="35">
        <f>INDEX(Données!$F$2:$L$54,MATCH(F114,Données!$F$2:$F$54,0),2)</f>
        <v>43948</v>
      </c>
      <c r="D114" s="29" t="str">
        <f t="shared" si="2"/>
        <v>#4</v>
      </c>
      <c r="E114" s="7">
        <f>Données!K19</f>
        <v>43952</v>
      </c>
      <c r="F114" s="6" t="str">
        <f>INDEX(Données!$F$2:$L$54,MATCH('#4'!E114,Données!$G$2:$G$54,1),1)</f>
        <v>18</v>
      </c>
      <c r="G114" s="18" t="str">
        <f t="shared" si="3"/>
        <v>PS-4</v>
      </c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1"/>
      <c r="W114" s="75"/>
      <c r="X114" s="75"/>
      <c r="Y114" s="75"/>
      <c r="Z114" s="96">
        <f>SUM(Tableau15[[#This Row],[A-1]:[G-5]])</f>
        <v>0</v>
      </c>
      <c r="AA114" s="96" t="str">
        <f>IF(AND(Z114&gt;0,Tableau15[[#This Row],[CDS]]=""),"Oui","Non")</f>
        <v>Non</v>
      </c>
      <c r="AB114" s="75"/>
      <c r="AC114" s="75"/>
      <c r="AD114" s="75"/>
      <c r="AE114" s="75"/>
      <c r="AF114" s="75"/>
      <c r="AG114" s="75"/>
      <c r="AH114" s="75"/>
      <c r="AI114" s="75"/>
      <c r="AJ114" s="81"/>
      <c r="AK114" s="75"/>
      <c r="AL114" s="75"/>
    </row>
    <row r="115" spans="1:38" ht="15.75" hidden="1" thickBot="1" x14ac:dyDescent="0.3">
      <c r="A115" s="75"/>
      <c r="B115" s="75"/>
      <c r="C115" s="35">
        <f>INDEX(Données!$F$2:$L$54,MATCH(F115,Données!$F$2:$F$54,0),2)</f>
        <v>43948</v>
      </c>
      <c r="D115" s="29" t="str">
        <f t="shared" si="2"/>
        <v>#4</v>
      </c>
      <c r="E115" s="7">
        <f>Données!L19</f>
        <v>43953</v>
      </c>
      <c r="F115" s="6" t="str">
        <f>INDEX(Données!$F$2:$L$54,MATCH('#4'!E115,Données!$G$2:$G$54,1),1)</f>
        <v>18</v>
      </c>
      <c r="G115" s="18" t="str">
        <f t="shared" si="3"/>
        <v>PS-4</v>
      </c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1"/>
      <c r="W115" s="75"/>
      <c r="X115" s="75"/>
      <c r="Y115" s="75"/>
      <c r="Z115" s="96">
        <f>SUM(Tableau15[[#This Row],[A-1]:[G-5]])</f>
        <v>0</v>
      </c>
      <c r="AA115" s="96" t="str">
        <f>IF(AND(Z115&gt;0,Tableau15[[#This Row],[CDS]]=""),"Oui","Non")</f>
        <v>Non</v>
      </c>
      <c r="AB115" s="75"/>
      <c r="AC115" s="75"/>
      <c r="AD115" s="75"/>
      <c r="AE115" s="75"/>
      <c r="AF115" s="75"/>
      <c r="AG115" s="75"/>
      <c r="AH115" s="75"/>
      <c r="AI115" s="75"/>
      <c r="AJ115" s="81"/>
      <c r="AK115" s="75"/>
      <c r="AL115" s="75"/>
    </row>
    <row r="116" spans="1:38" ht="15.75" hidden="1" thickBot="1" x14ac:dyDescent="0.3">
      <c r="A116" s="75"/>
      <c r="B116" s="75"/>
      <c r="C116" s="35">
        <f>INDEX(Données!$F$2:$L$54,MATCH(F116,Données!$F$2:$F$54,0),2)</f>
        <v>43955</v>
      </c>
      <c r="D116" s="29" t="str">
        <f t="shared" si="2"/>
        <v>#4</v>
      </c>
      <c r="E116" s="7">
        <f>Données!G20</f>
        <v>43955</v>
      </c>
      <c r="F116" s="6" t="str">
        <f>INDEX(Données!$F$2:$L$54,MATCH('#4'!E116,Données!$G$2:$G$54,1),1)</f>
        <v>19</v>
      </c>
      <c r="G116" s="18" t="str">
        <f t="shared" si="3"/>
        <v>PS-4</v>
      </c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1"/>
      <c r="W116" s="75"/>
      <c r="X116" s="75"/>
      <c r="Y116" s="75"/>
      <c r="Z116" s="96">
        <f>SUM(Tableau15[[#This Row],[A-1]:[G-5]])</f>
        <v>0</v>
      </c>
      <c r="AA116" s="96" t="str">
        <f>IF(AND(Z116&gt;0,Tableau15[[#This Row],[CDS]]=""),"Oui","Non")</f>
        <v>Non</v>
      </c>
      <c r="AB116" s="75"/>
      <c r="AC116" s="75"/>
      <c r="AD116" s="75"/>
      <c r="AE116" s="75"/>
      <c r="AF116" s="75"/>
      <c r="AG116" s="75"/>
      <c r="AH116" s="75"/>
      <c r="AI116" s="75"/>
      <c r="AJ116" s="81"/>
      <c r="AK116" s="75"/>
      <c r="AL116" s="75"/>
    </row>
    <row r="117" spans="1:38" ht="15.75" hidden="1" thickBot="1" x14ac:dyDescent="0.3">
      <c r="A117" s="75"/>
      <c r="B117" s="75"/>
      <c r="C117" s="35">
        <f>INDEX(Données!$F$2:$L$54,MATCH(F117,Données!$F$2:$F$54,0),2)</f>
        <v>43955</v>
      </c>
      <c r="D117" s="29" t="str">
        <f t="shared" si="2"/>
        <v>#4</v>
      </c>
      <c r="E117" s="7">
        <f>Données!H20</f>
        <v>43956</v>
      </c>
      <c r="F117" s="6" t="str">
        <f>INDEX(Données!$F$2:$L$54,MATCH('#4'!E117,Données!$G$2:$G$54,1),1)</f>
        <v>19</v>
      </c>
      <c r="G117" s="18" t="str">
        <f t="shared" si="3"/>
        <v>PS-4</v>
      </c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1"/>
      <c r="W117" s="75"/>
      <c r="X117" s="75"/>
      <c r="Y117" s="75"/>
      <c r="Z117" s="96">
        <f>SUM(Tableau15[[#This Row],[A-1]:[G-5]])</f>
        <v>0</v>
      </c>
      <c r="AA117" s="96" t="str">
        <f>IF(AND(Z117&gt;0,Tableau15[[#This Row],[CDS]]=""),"Oui","Non")</f>
        <v>Non</v>
      </c>
      <c r="AB117" s="75"/>
      <c r="AC117" s="75"/>
      <c r="AD117" s="75"/>
      <c r="AE117" s="75"/>
      <c r="AF117" s="75"/>
      <c r="AG117" s="75"/>
      <c r="AH117" s="75"/>
      <c r="AI117" s="75"/>
      <c r="AJ117" s="81"/>
      <c r="AK117" s="75"/>
      <c r="AL117" s="75"/>
    </row>
    <row r="118" spans="1:38" ht="15.75" hidden="1" thickBot="1" x14ac:dyDescent="0.3">
      <c r="A118" s="75"/>
      <c r="B118" s="75"/>
      <c r="C118" s="35">
        <f>INDEX(Données!$F$2:$L$54,MATCH(F118,Données!$F$2:$F$54,0),2)</f>
        <v>43955</v>
      </c>
      <c r="D118" s="29" t="str">
        <f t="shared" si="2"/>
        <v>#4</v>
      </c>
      <c r="E118" s="7">
        <f>Données!I20</f>
        <v>43957</v>
      </c>
      <c r="F118" s="6" t="str">
        <f>INDEX(Données!$F$2:$L$54,MATCH('#4'!E118,Données!$G$2:$G$54,1),1)</f>
        <v>19</v>
      </c>
      <c r="G118" s="18" t="str">
        <f t="shared" si="3"/>
        <v>PS-4</v>
      </c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1"/>
      <c r="W118" s="75"/>
      <c r="X118" s="75"/>
      <c r="Y118" s="75"/>
      <c r="Z118" s="96">
        <f>SUM(Tableau15[[#This Row],[A-1]:[G-5]])</f>
        <v>0</v>
      </c>
      <c r="AA118" s="96" t="str">
        <f>IF(AND(Z118&gt;0,Tableau15[[#This Row],[CDS]]=""),"Oui","Non")</f>
        <v>Non</v>
      </c>
      <c r="AB118" s="75"/>
      <c r="AC118" s="75"/>
      <c r="AD118" s="75"/>
      <c r="AE118" s="75"/>
      <c r="AF118" s="75"/>
      <c r="AG118" s="75"/>
      <c r="AH118" s="75"/>
      <c r="AI118" s="75"/>
      <c r="AJ118" s="81"/>
      <c r="AK118" s="75"/>
      <c r="AL118" s="75"/>
    </row>
    <row r="119" spans="1:38" ht="15.75" hidden="1" thickBot="1" x14ac:dyDescent="0.3">
      <c r="A119" s="75"/>
      <c r="B119" s="75"/>
      <c r="C119" s="35">
        <f>INDEX(Données!$F$2:$L$54,MATCH(F119,Données!$F$2:$F$54,0),2)</f>
        <v>43955</v>
      </c>
      <c r="D119" s="29" t="str">
        <f t="shared" si="2"/>
        <v>#4</v>
      </c>
      <c r="E119" s="7">
        <f>Données!J20</f>
        <v>43958</v>
      </c>
      <c r="F119" s="6" t="str">
        <f>INDEX(Données!$F$2:$L$54,MATCH('#4'!E119,Données!$G$2:$G$54,1),1)</f>
        <v>19</v>
      </c>
      <c r="G119" s="18" t="str">
        <f t="shared" si="3"/>
        <v>PS-4</v>
      </c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1"/>
      <c r="W119" s="75"/>
      <c r="X119" s="75"/>
      <c r="Y119" s="75"/>
      <c r="Z119" s="96">
        <f>SUM(Tableau15[[#This Row],[A-1]:[G-5]])</f>
        <v>0</v>
      </c>
      <c r="AA119" s="96" t="str">
        <f>IF(AND(Z119&gt;0,Tableau15[[#This Row],[CDS]]=""),"Oui","Non")</f>
        <v>Non</v>
      </c>
      <c r="AB119" s="75"/>
      <c r="AC119" s="75"/>
      <c r="AD119" s="75"/>
      <c r="AE119" s="75"/>
      <c r="AF119" s="75"/>
      <c r="AG119" s="75"/>
      <c r="AH119" s="75"/>
      <c r="AI119" s="75"/>
      <c r="AJ119" s="81"/>
      <c r="AK119" s="75"/>
      <c r="AL119" s="75"/>
    </row>
    <row r="120" spans="1:38" ht="15.75" hidden="1" thickBot="1" x14ac:dyDescent="0.3">
      <c r="A120" s="75"/>
      <c r="B120" s="75"/>
      <c r="C120" s="35">
        <f>INDEX(Données!$F$2:$L$54,MATCH(F120,Données!$F$2:$F$54,0),2)</f>
        <v>43955</v>
      </c>
      <c r="D120" s="29" t="str">
        <f t="shared" si="2"/>
        <v>#4</v>
      </c>
      <c r="E120" s="7">
        <f>Données!K20</f>
        <v>43959</v>
      </c>
      <c r="F120" s="6" t="str">
        <f>INDEX(Données!$F$2:$L$54,MATCH('#4'!E120,Données!$G$2:$G$54,1),1)</f>
        <v>19</v>
      </c>
      <c r="G120" s="18" t="str">
        <f t="shared" si="3"/>
        <v>PS-4</v>
      </c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1"/>
      <c r="W120" s="75"/>
      <c r="X120" s="75"/>
      <c r="Y120" s="75"/>
      <c r="Z120" s="96">
        <f>SUM(Tableau15[[#This Row],[A-1]:[G-5]])</f>
        <v>0</v>
      </c>
      <c r="AA120" s="96" t="str">
        <f>IF(AND(Z120&gt;0,Tableau15[[#This Row],[CDS]]=""),"Oui","Non")</f>
        <v>Non</v>
      </c>
      <c r="AB120" s="75"/>
      <c r="AC120" s="75"/>
      <c r="AD120" s="75"/>
      <c r="AE120" s="75"/>
      <c r="AF120" s="75"/>
      <c r="AG120" s="75"/>
      <c r="AH120" s="75"/>
      <c r="AI120" s="75"/>
      <c r="AJ120" s="81"/>
      <c r="AK120" s="75"/>
      <c r="AL120" s="75"/>
    </row>
    <row r="121" spans="1:38" ht="15.75" hidden="1" thickBot="1" x14ac:dyDescent="0.3">
      <c r="A121" s="75"/>
      <c r="B121" s="75"/>
      <c r="C121" s="35">
        <f>INDEX(Données!$F$2:$L$54,MATCH(F121,Données!$F$2:$F$54,0),2)</f>
        <v>43955</v>
      </c>
      <c r="D121" s="29" t="str">
        <f t="shared" si="2"/>
        <v>#4</v>
      </c>
      <c r="E121" s="7">
        <f>Données!L20</f>
        <v>43960</v>
      </c>
      <c r="F121" s="6" t="str">
        <f>INDEX(Données!$F$2:$L$54,MATCH('#4'!E121,Données!$G$2:$G$54,1),1)</f>
        <v>19</v>
      </c>
      <c r="G121" s="18" t="str">
        <f t="shared" si="3"/>
        <v>PS-4</v>
      </c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1"/>
      <c r="W121" s="75"/>
      <c r="X121" s="75"/>
      <c r="Y121" s="75"/>
      <c r="Z121" s="96">
        <f>SUM(Tableau15[[#This Row],[A-1]:[G-5]])</f>
        <v>0</v>
      </c>
      <c r="AA121" s="96" t="str">
        <f>IF(AND(Z121&gt;0,Tableau15[[#This Row],[CDS]]=""),"Oui","Non")</f>
        <v>Non</v>
      </c>
      <c r="AB121" s="75"/>
      <c r="AC121" s="75"/>
      <c r="AD121" s="75"/>
      <c r="AE121" s="75"/>
      <c r="AF121" s="75"/>
      <c r="AG121" s="75"/>
      <c r="AH121" s="75"/>
      <c r="AI121" s="75"/>
      <c r="AJ121" s="81"/>
      <c r="AK121" s="75"/>
      <c r="AL121" s="75"/>
    </row>
    <row r="122" spans="1:38" ht="15.75" hidden="1" thickBot="1" x14ac:dyDescent="0.3">
      <c r="A122" s="75"/>
      <c r="B122" s="75"/>
      <c r="C122" s="35">
        <f>INDEX(Données!$F$2:$L$54,MATCH(F122,Données!$F$2:$F$54,0),2)</f>
        <v>43962</v>
      </c>
      <c r="D122" s="29" t="str">
        <f t="shared" si="2"/>
        <v>#4</v>
      </c>
      <c r="E122" s="7">
        <f>Données!G21</f>
        <v>43962</v>
      </c>
      <c r="F122" s="6" t="str">
        <f>INDEX(Données!$F$2:$L$54,MATCH('#4'!E122,Données!$G$2:$G$54,1),1)</f>
        <v>20</v>
      </c>
      <c r="G122" s="18" t="str">
        <f t="shared" si="3"/>
        <v>PS-4</v>
      </c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1"/>
      <c r="W122" s="75"/>
      <c r="X122" s="75"/>
      <c r="Y122" s="75"/>
      <c r="Z122" s="96">
        <f>SUM(Tableau15[[#This Row],[A-1]:[G-5]])</f>
        <v>0</v>
      </c>
      <c r="AA122" s="96" t="str">
        <f>IF(AND(Z122&gt;0,Tableau15[[#This Row],[CDS]]=""),"Oui","Non")</f>
        <v>Non</v>
      </c>
      <c r="AB122" s="75"/>
      <c r="AC122" s="75"/>
      <c r="AD122" s="75"/>
      <c r="AE122" s="75"/>
      <c r="AF122" s="75"/>
      <c r="AG122" s="75"/>
      <c r="AH122" s="75"/>
      <c r="AI122" s="75"/>
      <c r="AJ122" s="81"/>
      <c r="AK122" s="75"/>
      <c r="AL122" s="75"/>
    </row>
    <row r="123" spans="1:38" ht="15.75" hidden="1" thickBot="1" x14ac:dyDescent="0.3">
      <c r="A123" s="75"/>
      <c r="B123" s="75"/>
      <c r="C123" s="35">
        <f>INDEX(Données!$F$2:$L$54,MATCH(F123,Données!$F$2:$F$54,0),2)</f>
        <v>43962</v>
      </c>
      <c r="D123" s="29" t="str">
        <f t="shared" si="2"/>
        <v>#4</v>
      </c>
      <c r="E123" s="7">
        <f>Données!H21</f>
        <v>43963</v>
      </c>
      <c r="F123" s="6" t="str">
        <f>INDEX(Données!$F$2:$L$54,MATCH('#4'!E123,Données!$G$2:$G$54,1),1)</f>
        <v>20</v>
      </c>
      <c r="G123" s="18" t="str">
        <f t="shared" si="3"/>
        <v>PS-4</v>
      </c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1"/>
      <c r="W123" s="75"/>
      <c r="X123" s="75"/>
      <c r="Y123" s="75"/>
      <c r="Z123" s="96">
        <f>SUM(Tableau15[[#This Row],[A-1]:[G-5]])</f>
        <v>0</v>
      </c>
      <c r="AA123" s="96" t="str">
        <f>IF(AND(Z123&gt;0,Tableau15[[#This Row],[CDS]]=""),"Oui","Non")</f>
        <v>Non</v>
      </c>
      <c r="AB123" s="75"/>
      <c r="AC123" s="75"/>
      <c r="AD123" s="75"/>
      <c r="AE123" s="75"/>
      <c r="AF123" s="75"/>
      <c r="AG123" s="75"/>
      <c r="AH123" s="75"/>
      <c r="AI123" s="75"/>
      <c r="AJ123" s="81"/>
      <c r="AK123" s="75"/>
      <c r="AL123" s="75"/>
    </row>
    <row r="124" spans="1:38" ht="15.75" hidden="1" thickBot="1" x14ac:dyDescent="0.3">
      <c r="A124" s="75"/>
      <c r="B124" s="75"/>
      <c r="C124" s="35">
        <f>INDEX(Données!$F$2:$L$54,MATCH(F124,Données!$F$2:$F$54,0),2)</f>
        <v>43962</v>
      </c>
      <c r="D124" s="29" t="str">
        <f t="shared" si="2"/>
        <v>#4</v>
      </c>
      <c r="E124" s="7">
        <f>Données!I21</f>
        <v>43964</v>
      </c>
      <c r="F124" s="6" t="str">
        <f>INDEX(Données!$F$2:$L$54,MATCH('#4'!E124,Données!$G$2:$G$54,1),1)</f>
        <v>20</v>
      </c>
      <c r="G124" s="18" t="str">
        <f t="shared" si="3"/>
        <v>PS-4</v>
      </c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1"/>
      <c r="W124" s="75"/>
      <c r="X124" s="75"/>
      <c r="Y124" s="75"/>
      <c r="Z124" s="96">
        <f>SUM(Tableau15[[#This Row],[A-1]:[G-5]])</f>
        <v>0</v>
      </c>
      <c r="AA124" s="96" t="str">
        <f>IF(AND(Z124&gt;0,Tableau15[[#This Row],[CDS]]=""),"Oui","Non")</f>
        <v>Non</v>
      </c>
      <c r="AB124" s="75"/>
      <c r="AC124" s="75"/>
      <c r="AD124" s="75"/>
      <c r="AE124" s="75"/>
      <c r="AF124" s="75"/>
      <c r="AG124" s="75"/>
      <c r="AH124" s="75"/>
      <c r="AI124" s="75"/>
      <c r="AJ124" s="81"/>
      <c r="AK124" s="75"/>
      <c r="AL124" s="75"/>
    </row>
    <row r="125" spans="1:38" ht="15.75" hidden="1" thickBot="1" x14ac:dyDescent="0.3">
      <c r="A125" s="75"/>
      <c r="B125" s="75"/>
      <c r="C125" s="35">
        <f>INDEX(Données!$F$2:$L$54,MATCH(F125,Données!$F$2:$F$54,0),2)</f>
        <v>43962</v>
      </c>
      <c r="D125" s="29" t="str">
        <f t="shared" si="2"/>
        <v>#4</v>
      </c>
      <c r="E125" s="7">
        <f>Données!J21</f>
        <v>43965</v>
      </c>
      <c r="F125" s="6" t="str">
        <f>INDEX(Données!$F$2:$L$54,MATCH('#4'!E125,Données!$G$2:$G$54,1),1)</f>
        <v>20</v>
      </c>
      <c r="G125" s="18" t="str">
        <f t="shared" si="3"/>
        <v>PS-4</v>
      </c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1"/>
      <c r="W125" s="75"/>
      <c r="X125" s="75"/>
      <c r="Y125" s="75"/>
      <c r="Z125" s="96">
        <f>SUM(Tableau15[[#This Row],[A-1]:[G-5]])</f>
        <v>0</v>
      </c>
      <c r="AA125" s="96" t="str">
        <f>IF(AND(Z125&gt;0,Tableau15[[#This Row],[CDS]]=""),"Oui","Non")</f>
        <v>Non</v>
      </c>
      <c r="AB125" s="75"/>
      <c r="AC125" s="75"/>
      <c r="AD125" s="75"/>
      <c r="AE125" s="75"/>
      <c r="AF125" s="75"/>
      <c r="AG125" s="75"/>
      <c r="AH125" s="75"/>
      <c r="AI125" s="75"/>
      <c r="AJ125" s="81"/>
      <c r="AK125" s="75"/>
      <c r="AL125" s="75"/>
    </row>
    <row r="126" spans="1:38" ht="15.75" hidden="1" thickBot="1" x14ac:dyDescent="0.3">
      <c r="A126" s="75"/>
      <c r="B126" s="75"/>
      <c r="C126" s="35">
        <f>INDEX(Données!$F$2:$L$54,MATCH(F126,Données!$F$2:$F$54,0),2)</f>
        <v>43962</v>
      </c>
      <c r="D126" s="29" t="str">
        <f t="shared" si="2"/>
        <v>#4</v>
      </c>
      <c r="E126" s="7">
        <f>Données!K21</f>
        <v>43966</v>
      </c>
      <c r="F126" s="6" t="str">
        <f>INDEX(Données!$F$2:$L$54,MATCH('#4'!E126,Données!$G$2:$G$54,1),1)</f>
        <v>20</v>
      </c>
      <c r="G126" s="18" t="str">
        <f t="shared" si="3"/>
        <v>PS-4</v>
      </c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1"/>
      <c r="W126" s="75"/>
      <c r="X126" s="75"/>
      <c r="Y126" s="75"/>
      <c r="Z126" s="96">
        <f>SUM(Tableau15[[#This Row],[A-1]:[G-5]])</f>
        <v>0</v>
      </c>
      <c r="AA126" s="96" t="str">
        <f>IF(AND(Z126&gt;0,Tableau15[[#This Row],[CDS]]=""),"Oui","Non")</f>
        <v>Non</v>
      </c>
      <c r="AB126" s="75"/>
      <c r="AC126" s="75"/>
      <c r="AD126" s="75"/>
      <c r="AE126" s="75"/>
      <c r="AF126" s="75"/>
      <c r="AG126" s="75"/>
      <c r="AH126" s="75"/>
      <c r="AI126" s="75"/>
      <c r="AJ126" s="81"/>
      <c r="AK126" s="75"/>
      <c r="AL126" s="75"/>
    </row>
    <row r="127" spans="1:38" ht="15.75" hidden="1" thickBot="1" x14ac:dyDescent="0.3">
      <c r="A127" s="75"/>
      <c r="B127" s="75"/>
      <c r="C127" s="35">
        <f>INDEX(Données!$F$2:$L$54,MATCH(F127,Données!$F$2:$F$54,0),2)</f>
        <v>43962</v>
      </c>
      <c r="D127" s="29" t="str">
        <f t="shared" si="2"/>
        <v>#4</v>
      </c>
      <c r="E127" s="7">
        <f>Données!L21</f>
        <v>43967</v>
      </c>
      <c r="F127" s="6" t="str">
        <f>INDEX(Données!$F$2:$L$54,MATCH('#4'!E127,Données!$G$2:$G$54,1),1)</f>
        <v>20</v>
      </c>
      <c r="G127" s="18" t="str">
        <f t="shared" si="3"/>
        <v>PS-4</v>
      </c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1"/>
      <c r="W127" s="75"/>
      <c r="X127" s="75"/>
      <c r="Y127" s="75"/>
      <c r="Z127" s="96">
        <f>SUM(Tableau15[[#This Row],[A-1]:[G-5]])</f>
        <v>0</v>
      </c>
      <c r="AA127" s="96" t="str">
        <f>IF(AND(Z127&gt;0,Tableau15[[#This Row],[CDS]]=""),"Oui","Non")</f>
        <v>Non</v>
      </c>
      <c r="AB127" s="75"/>
      <c r="AC127" s="75"/>
      <c r="AD127" s="75"/>
      <c r="AE127" s="75"/>
      <c r="AF127" s="75"/>
      <c r="AG127" s="75"/>
      <c r="AH127" s="75"/>
      <c r="AI127" s="75"/>
      <c r="AJ127" s="81"/>
      <c r="AK127" s="75"/>
      <c r="AL127" s="75"/>
    </row>
    <row r="128" spans="1:38" ht="15.75" hidden="1" thickBot="1" x14ac:dyDescent="0.3">
      <c r="A128" s="75"/>
      <c r="B128" s="75"/>
      <c r="C128" s="35">
        <f>INDEX(Données!$F$2:$L$54,MATCH(F128,Données!$F$2:$F$54,0),2)</f>
        <v>43969</v>
      </c>
      <c r="D128" s="29" t="str">
        <f t="shared" si="2"/>
        <v>#4</v>
      </c>
      <c r="E128" s="7">
        <f>Données!G22</f>
        <v>43969</v>
      </c>
      <c r="F128" s="6" t="str">
        <f>INDEX(Données!$F$2:$L$54,MATCH('#4'!E128,Données!$G$2:$G$54,1),1)</f>
        <v>21</v>
      </c>
      <c r="G128" s="18" t="str">
        <f t="shared" si="3"/>
        <v>PS-4</v>
      </c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1"/>
      <c r="W128" s="75"/>
      <c r="X128" s="75"/>
      <c r="Y128" s="75"/>
      <c r="Z128" s="96">
        <f>SUM(Tableau15[[#This Row],[A-1]:[G-5]])</f>
        <v>0</v>
      </c>
      <c r="AA128" s="96" t="str">
        <f>IF(AND(Z128&gt;0,Tableau15[[#This Row],[CDS]]=""),"Oui","Non")</f>
        <v>Non</v>
      </c>
      <c r="AB128" s="75"/>
      <c r="AC128" s="75"/>
      <c r="AD128" s="75"/>
      <c r="AE128" s="75"/>
      <c r="AF128" s="75"/>
      <c r="AG128" s="75"/>
      <c r="AH128" s="75"/>
      <c r="AI128" s="75"/>
      <c r="AJ128" s="81"/>
      <c r="AK128" s="75"/>
      <c r="AL128" s="75"/>
    </row>
    <row r="129" spans="1:38" ht="15.75" hidden="1" thickBot="1" x14ac:dyDescent="0.3">
      <c r="A129" s="75"/>
      <c r="B129" s="75"/>
      <c r="C129" s="35">
        <f>INDEX(Données!$F$2:$L$54,MATCH(F129,Données!$F$2:$F$54,0),2)</f>
        <v>43969</v>
      </c>
      <c r="D129" s="29" t="str">
        <f t="shared" si="2"/>
        <v>#4</v>
      </c>
      <c r="E129" s="7">
        <f>Données!H22</f>
        <v>43970</v>
      </c>
      <c r="F129" s="6" t="str">
        <f>INDEX(Données!$F$2:$L$54,MATCH('#4'!E129,Données!$G$2:$G$54,1),1)</f>
        <v>21</v>
      </c>
      <c r="G129" s="18" t="str">
        <f t="shared" si="3"/>
        <v>PS-4</v>
      </c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1"/>
      <c r="W129" s="75"/>
      <c r="X129" s="75"/>
      <c r="Y129" s="75"/>
      <c r="Z129" s="96">
        <f>SUM(Tableau15[[#This Row],[A-1]:[G-5]])</f>
        <v>0</v>
      </c>
      <c r="AA129" s="96" t="str">
        <f>IF(AND(Z129&gt;0,Tableau15[[#This Row],[CDS]]=""),"Oui","Non")</f>
        <v>Non</v>
      </c>
      <c r="AB129" s="75"/>
      <c r="AC129" s="75"/>
      <c r="AD129" s="75"/>
      <c r="AE129" s="75"/>
      <c r="AF129" s="75"/>
      <c r="AG129" s="75"/>
      <c r="AH129" s="75"/>
      <c r="AI129" s="75"/>
      <c r="AJ129" s="81"/>
      <c r="AK129" s="75"/>
      <c r="AL129" s="75"/>
    </row>
    <row r="130" spans="1:38" ht="15.75" hidden="1" thickBot="1" x14ac:dyDescent="0.3">
      <c r="A130" s="75"/>
      <c r="B130" s="75"/>
      <c r="C130" s="35">
        <f>INDEX(Données!$F$2:$L$54,MATCH(F130,Données!$F$2:$F$54,0),2)</f>
        <v>43969</v>
      </c>
      <c r="D130" s="29" t="str">
        <f t="shared" si="2"/>
        <v>#4</v>
      </c>
      <c r="E130" s="7">
        <f>Données!I22</f>
        <v>43971</v>
      </c>
      <c r="F130" s="6" t="str">
        <f>INDEX(Données!$F$2:$L$54,MATCH('#4'!E130,Données!$G$2:$G$54,1),1)</f>
        <v>21</v>
      </c>
      <c r="G130" s="18" t="str">
        <f t="shared" si="3"/>
        <v>PS-4</v>
      </c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1"/>
      <c r="W130" s="75"/>
      <c r="X130" s="75"/>
      <c r="Y130" s="75"/>
      <c r="Z130" s="96">
        <f>SUM(Tableau15[[#This Row],[A-1]:[G-5]])</f>
        <v>0</v>
      </c>
      <c r="AA130" s="96" t="str">
        <f>IF(AND(Z130&gt;0,Tableau15[[#This Row],[CDS]]=""),"Oui","Non")</f>
        <v>Non</v>
      </c>
      <c r="AB130" s="75"/>
      <c r="AC130" s="75"/>
      <c r="AD130" s="75"/>
      <c r="AE130" s="75"/>
      <c r="AF130" s="75"/>
      <c r="AG130" s="75"/>
      <c r="AH130" s="75"/>
      <c r="AI130" s="75"/>
      <c r="AJ130" s="81"/>
      <c r="AK130" s="75"/>
      <c r="AL130" s="75"/>
    </row>
    <row r="131" spans="1:38" ht="15.75" hidden="1" thickBot="1" x14ac:dyDescent="0.3">
      <c r="A131" s="75"/>
      <c r="B131" s="75"/>
      <c r="C131" s="35">
        <f>INDEX(Données!$F$2:$L$54,MATCH(F131,Données!$F$2:$F$54,0),2)</f>
        <v>43969</v>
      </c>
      <c r="D131" s="29" t="str">
        <f t="shared" si="2"/>
        <v>#4</v>
      </c>
      <c r="E131" s="7">
        <f>Données!J22</f>
        <v>43972</v>
      </c>
      <c r="F131" s="6" t="str">
        <f>INDEX(Données!$F$2:$L$54,MATCH('#4'!E131,Données!$G$2:$G$54,1),1)</f>
        <v>21</v>
      </c>
      <c r="G131" s="18" t="str">
        <f t="shared" si="3"/>
        <v>PS-4</v>
      </c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1"/>
      <c r="W131" s="75"/>
      <c r="X131" s="75"/>
      <c r="Y131" s="75"/>
      <c r="Z131" s="96">
        <f>SUM(Tableau15[[#This Row],[A-1]:[G-5]])</f>
        <v>0</v>
      </c>
      <c r="AA131" s="96" t="str">
        <f>IF(AND(Z131&gt;0,Tableau15[[#This Row],[CDS]]=""),"Oui","Non")</f>
        <v>Non</v>
      </c>
      <c r="AB131" s="75"/>
      <c r="AC131" s="75"/>
      <c r="AD131" s="75"/>
      <c r="AE131" s="75"/>
      <c r="AF131" s="75"/>
      <c r="AG131" s="75"/>
      <c r="AH131" s="75"/>
      <c r="AI131" s="75"/>
      <c r="AJ131" s="81"/>
      <c r="AK131" s="75"/>
      <c r="AL131" s="75"/>
    </row>
    <row r="132" spans="1:38" ht="15.75" hidden="1" thickBot="1" x14ac:dyDescent="0.3">
      <c r="A132" s="75"/>
      <c r="B132" s="75"/>
      <c r="C132" s="35">
        <f>INDEX(Données!$F$2:$L$54,MATCH(F132,Données!$F$2:$F$54,0),2)</f>
        <v>43969</v>
      </c>
      <c r="D132" s="29" t="str">
        <f t="shared" si="2"/>
        <v>#4</v>
      </c>
      <c r="E132" s="7">
        <f>Données!K22</f>
        <v>43973</v>
      </c>
      <c r="F132" s="6" t="str">
        <f>INDEX(Données!$F$2:$L$54,MATCH('#4'!E132,Données!$G$2:$G$54,1),1)</f>
        <v>21</v>
      </c>
      <c r="G132" s="18" t="str">
        <f t="shared" si="3"/>
        <v>PS-4</v>
      </c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1"/>
      <c r="W132" s="75"/>
      <c r="X132" s="75"/>
      <c r="Y132" s="75"/>
      <c r="Z132" s="96">
        <f>SUM(Tableau15[[#This Row],[A-1]:[G-5]])</f>
        <v>0</v>
      </c>
      <c r="AA132" s="96" t="str">
        <f>IF(AND(Z132&gt;0,Tableau15[[#This Row],[CDS]]=""),"Oui","Non")</f>
        <v>Non</v>
      </c>
      <c r="AB132" s="75"/>
      <c r="AC132" s="75"/>
      <c r="AD132" s="75"/>
      <c r="AE132" s="75"/>
      <c r="AF132" s="75"/>
      <c r="AG132" s="75"/>
      <c r="AH132" s="75"/>
      <c r="AI132" s="75"/>
      <c r="AJ132" s="81"/>
      <c r="AK132" s="75"/>
      <c r="AL132" s="75"/>
    </row>
    <row r="133" spans="1:38" ht="15.75" hidden="1" thickBot="1" x14ac:dyDescent="0.3">
      <c r="A133" s="75"/>
      <c r="B133" s="75"/>
      <c r="C133" s="35">
        <f>INDEX(Données!$F$2:$L$54,MATCH(F133,Données!$F$2:$F$54,0),2)</f>
        <v>43969</v>
      </c>
      <c r="D133" s="29" t="str">
        <f t="shared" si="2"/>
        <v>#4</v>
      </c>
      <c r="E133" s="7">
        <f>Données!L22</f>
        <v>43974</v>
      </c>
      <c r="F133" s="6" t="str">
        <f>INDEX(Données!$F$2:$L$54,MATCH('#4'!E133,Données!$G$2:$G$54,1),1)</f>
        <v>21</v>
      </c>
      <c r="G133" s="18" t="str">
        <f t="shared" si="3"/>
        <v>PS-4</v>
      </c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1"/>
      <c r="W133" s="75"/>
      <c r="X133" s="75"/>
      <c r="Y133" s="75"/>
      <c r="Z133" s="96">
        <f>SUM(Tableau15[[#This Row],[A-1]:[G-5]])</f>
        <v>0</v>
      </c>
      <c r="AA133" s="96" t="str">
        <f>IF(AND(Z133&gt;0,Tableau15[[#This Row],[CDS]]=""),"Oui","Non")</f>
        <v>Non</v>
      </c>
      <c r="AB133" s="75"/>
      <c r="AC133" s="75"/>
      <c r="AD133" s="75"/>
      <c r="AE133" s="75"/>
      <c r="AF133" s="75"/>
      <c r="AG133" s="75"/>
      <c r="AH133" s="75"/>
      <c r="AI133" s="75"/>
      <c r="AJ133" s="81"/>
      <c r="AK133" s="75"/>
      <c r="AL133" s="75"/>
    </row>
    <row r="134" spans="1:38" ht="15.75" hidden="1" thickBot="1" x14ac:dyDescent="0.3">
      <c r="A134" s="75"/>
      <c r="B134" s="75"/>
      <c r="C134" s="35">
        <f>INDEX(Données!$F$2:$L$54,MATCH(F134,Données!$F$2:$F$54,0),2)</f>
        <v>43976</v>
      </c>
      <c r="D134" s="29" t="str">
        <f t="shared" si="2"/>
        <v>#4</v>
      </c>
      <c r="E134" s="7">
        <f>Données!G23</f>
        <v>43976</v>
      </c>
      <c r="F134" s="6" t="str">
        <f>INDEX(Données!$F$2:$L$54,MATCH('#4'!E134,Données!$G$2:$G$54,1),1)</f>
        <v>22</v>
      </c>
      <c r="G134" s="18" t="str">
        <f t="shared" si="3"/>
        <v>PS-4</v>
      </c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1"/>
      <c r="W134" s="75"/>
      <c r="X134" s="75"/>
      <c r="Y134" s="75"/>
      <c r="Z134" s="96">
        <f>SUM(Tableau15[[#This Row],[A-1]:[G-5]])</f>
        <v>0</v>
      </c>
      <c r="AA134" s="96" t="str">
        <f>IF(AND(Z134&gt;0,Tableau15[[#This Row],[CDS]]=""),"Oui","Non")</f>
        <v>Non</v>
      </c>
      <c r="AB134" s="75"/>
      <c r="AC134" s="75"/>
      <c r="AD134" s="75"/>
      <c r="AE134" s="75"/>
      <c r="AF134" s="75"/>
      <c r="AG134" s="75"/>
      <c r="AH134" s="75"/>
      <c r="AI134" s="75"/>
      <c r="AJ134" s="81"/>
      <c r="AK134" s="75"/>
      <c r="AL134" s="75"/>
    </row>
    <row r="135" spans="1:38" ht="15.75" hidden="1" thickBot="1" x14ac:dyDescent="0.3">
      <c r="A135" s="75"/>
      <c r="B135" s="75"/>
      <c r="C135" s="35">
        <f>INDEX(Données!$F$2:$L$54,MATCH(F135,Données!$F$2:$F$54,0),2)</f>
        <v>43976</v>
      </c>
      <c r="D135" s="29" t="str">
        <f t="shared" si="2"/>
        <v>#4</v>
      </c>
      <c r="E135" s="7">
        <f>Données!H23</f>
        <v>43977</v>
      </c>
      <c r="F135" s="6" t="str">
        <f>INDEX(Données!$F$2:$L$54,MATCH('#4'!E135,Données!$G$2:$G$54,1),1)</f>
        <v>22</v>
      </c>
      <c r="G135" s="18" t="str">
        <f t="shared" si="3"/>
        <v>PS-4</v>
      </c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1"/>
      <c r="W135" s="75"/>
      <c r="X135" s="75"/>
      <c r="Y135" s="75"/>
      <c r="Z135" s="96">
        <f>SUM(Tableau15[[#This Row],[A-1]:[G-5]])</f>
        <v>0</v>
      </c>
      <c r="AA135" s="96" t="str">
        <f>IF(AND(Z135&gt;0,Tableau15[[#This Row],[CDS]]=""),"Oui","Non")</f>
        <v>Non</v>
      </c>
      <c r="AB135" s="75"/>
      <c r="AC135" s="75"/>
      <c r="AD135" s="75"/>
      <c r="AE135" s="75"/>
      <c r="AF135" s="75"/>
      <c r="AG135" s="75"/>
      <c r="AH135" s="75"/>
      <c r="AI135" s="75"/>
      <c r="AJ135" s="81"/>
      <c r="AK135" s="75"/>
      <c r="AL135" s="75"/>
    </row>
    <row r="136" spans="1:38" ht="15.75" hidden="1" thickBot="1" x14ac:dyDescent="0.3">
      <c r="A136" s="75"/>
      <c r="B136" s="75"/>
      <c r="C136" s="35">
        <f>INDEX(Données!$F$2:$L$54,MATCH(F136,Données!$F$2:$F$54,0),2)</f>
        <v>43976</v>
      </c>
      <c r="D136" s="29" t="str">
        <f t="shared" ref="D136:D199" si="4">$E$4</f>
        <v>#4</v>
      </c>
      <c r="E136" s="7">
        <f>Données!I23</f>
        <v>43978</v>
      </c>
      <c r="F136" s="6" t="str">
        <f>INDEX(Données!$F$2:$L$54,MATCH('#4'!E136,Données!$G$2:$G$54,1),1)</f>
        <v>22</v>
      </c>
      <c r="G136" s="18" t="str">
        <f t="shared" ref="G136:G199" si="5">IF(AND($V$5=1),"PS-1",IF(AND($V$5=2),"PS-2",IF(AND($V$5=4),"PS-4",IF(AND($V$5=6),"S.O.",IF(AND($V$5=5),"")))))</f>
        <v>PS-4</v>
      </c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1"/>
      <c r="W136" s="75"/>
      <c r="X136" s="75"/>
      <c r="Y136" s="75"/>
      <c r="Z136" s="96">
        <f>SUM(Tableau15[[#This Row],[A-1]:[G-5]])</f>
        <v>0</v>
      </c>
      <c r="AA136" s="96" t="str">
        <f>IF(AND(Z136&gt;0,Tableau15[[#This Row],[CDS]]=""),"Oui","Non")</f>
        <v>Non</v>
      </c>
      <c r="AB136" s="75"/>
      <c r="AC136" s="75"/>
      <c r="AD136" s="75"/>
      <c r="AE136" s="75"/>
      <c r="AF136" s="75"/>
      <c r="AG136" s="75"/>
      <c r="AH136" s="75"/>
      <c r="AI136" s="75"/>
      <c r="AJ136" s="81"/>
      <c r="AK136" s="75"/>
      <c r="AL136" s="75"/>
    </row>
    <row r="137" spans="1:38" ht="15.75" hidden="1" thickBot="1" x14ac:dyDescent="0.3">
      <c r="A137" s="75"/>
      <c r="B137" s="75"/>
      <c r="C137" s="35">
        <f>INDEX(Données!$F$2:$L$54,MATCH(F137,Données!$F$2:$F$54,0),2)</f>
        <v>43976</v>
      </c>
      <c r="D137" s="29" t="str">
        <f t="shared" si="4"/>
        <v>#4</v>
      </c>
      <c r="E137" s="7">
        <f>Données!J23</f>
        <v>43979</v>
      </c>
      <c r="F137" s="6" t="str">
        <f>INDEX(Données!$F$2:$L$54,MATCH('#4'!E137,Données!$G$2:$G$54,1),1)</f>
        <v>22</v>
      </c>
      <c r="G137" s="18" t="str">
        <f t="shared" si="5"/>
        <v>PS-4</v>
      </c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1"/>
      <c r="W137" s="75"/>
      <c r="X137" s="75"/>
      <c r="Y137" s="75"/>
      <c r="Z137" s="96">
        <f>SUM(Tableau15[[#This Row],[A-1]:[G-5]])</f>
        <v>0</v>
      </c>
      <c r="AA137" s="96" t="str">
        <f>IF(AND(Z137&gt;0,Tableau15[[#This Row],[CDS]]=""),"Oui","Non")</f>
        <v>Non</v>
      </c>
      <c r="AB137" s="75"/>
      <c r="AC137" s="75"/>
      <c r="AD137" s="75"/>
      <c r="AE137" s="75"/>
      <c r="AF137" s="75"/>
      <c r="AG137" s="75"/>
      <c r="AH137" s="75"/>
      <c r="AI137" s="75"/>
      <c r="AJ137" s="81"/>
      <c r="AK137" s="75"/>
      <c r="AL137" s="75"/>
    </row>
    <row r="138" spans="1:38" ht="15.75" hidden="1" thickBot="1" x14ac:dyDescent="0.3">
      <c r="A138" s="75"/>
      <c r="B138" s="75"/>
      <c r="C138" s="35">
        <f>INDEX(Données!$F$2:$L$54,MATCH(F138,Données!$F$2:$F$54,0),2)</f>
        <v>43976</v>
      </c>
      <c r="D138" s="29" t="str">
        <f t="shared" si="4"/>
        <v>#4</v>
      </c>
      <c r="E138" s="7">
        <f>Données!K23</f>
        <v>43980</v>
      </c>
      <c r="F138" s="6" t="str">
        <f>INDEX(Données!$F$2:$L$54,MATCH('#4'!E138,Données!$G$2:$G$54,1),1)</f>
        <v>22</v>
      </c>
      <c r="G138" s="18" t="str">
        <f t="shared" si="5"/>
        <v>PS-4</v>
      </c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1"/>
      <c r="W138" s="75"/>
      <c r="X138" s="75"/>
      <c r="Y138" s="75"/>
      <c r="Z138" s="96">
        <f>SUM(Tableau15[[#This Row],[A-1]:[G-5]])</f>
        <v>0</v>
      </c>
      <c r="AA138" s="96" t="str">
        <f>IF(AND(Z138&gt;0,Tableau15[[#This Row],[CDS]]=""),"Oui","Non")</f>
        <v>Non</v>
      </c>
      <c r="AB138" s="75"/>
      <c r="AC138" s="75"/>
      <c r="AD138" s="75"/>
      <c r="AE138" s="75"/>
      <c r="AF138" s="75"/>
      <c r="AG138" s="75"/>
      <c r="AH138" s="75"/>
      <c r="AI138" s="75"/>
      <c r="AJ138" s="81"/>
      <c r="AK138" s="75"/>
      <c r="AL138" s="75"/>
    </row>
    <row r="139" spans="1:38" ht="15.75" hidden="1" thickBot="1" x14ac:dyDescent="0.3">
      <c r="A139" s="75"/>
      <c r="B139" s="75"/>
      <c r="C139" s="35">
        <f>INDEX(Données!$F$2:$L$54,MATCH(F139,Données!$F$2:$F$54,0),2)</f>
        <v>43976</v>
      </c>
      <c r="D139" s="29" t="str">
        <f t="shared" si="4"/>
        <v>#4</v>
      </c>
      <c r="E139" s="7">
        <f>Données!L23</f>
        <v>43981</v>
      </c>
      <c r="F139" s="6" t="str">
        <f>INDEX(Données!$F$2:$L$54,MATCH('#4'!E139,Données!$G$2:$G$54,1),1)</f>
        <v>22</v>
      </c>
      <c r="G139" s="18" t="str">
        <f t="shared" si="5"/>
        <v>PS-4</v>
      </c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1"/>
      <c r="W139" s="75"/>
      <c r="X139" s="75"/>
      <c r="Y139" s="75"/>
      <c r="Z139" s="96">
        <f>SUM(Tableau15[[#This Row],[A-1]:[G-5]])</f>
        <v>0</v>
      </c>
      <c r="AA139" s="96" t="str">
        <f>IF(AND(Z139&gt;0,Tableau15[[#This Row],[CDS]]=""),"Oui","Non")</f>
        <v>Non</v>
      </c>
      <c r="AB139" s="75"/>
      <c r="AC139" s="75"/>
      <c r="AD139" s="75"/>
      <c r="AE139" s="75"/>
      <c r="AF139" s="75"/>
      <c r="AG139" s="75"/>
      <c r="AH139" s="75"/>
      <c r="AI139" s="75"/>
      <c r="AJ139" s="81"/>
      <c r="AK139" s="75"/>
      <c r="AL139" s="75"/>
    </row>
    <row r="140" spans="1:38" ht="15.75" hidden="1" thickBot="1" x14ac:dyDescent="0.3">
      <c r="A140" s="75"/>
      <c r="B140" s="75"/>
      <c r="C140" s="35">
        <f>INDEX(Données!$F$2:$L$54,MATCH(F140,Données!$F$2:$F$54,0),2)</f>
        <v>43983</v>
      </c>
      <c r="D140" s="29" t="str">
        <f t="shared" si="4"/>
        <v>#4</v>
      </c>
      <c r="E140" s="7">
        <f>Données!G24</f>
        <v>43983</v>
      </c>
      <c r="F140" s="6" t="str">
        <f>INDEX(Données!$F$2:$L$54,MATCH('#4'!E140,Données!$G$2:$G$54,1),1)</f>
        <v>23</v>
      </c>
      <c r="G140" s="18" t="str">
        <f t="shared" si="5"/>
        <v>PS-4</v>
      </c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1"/>
      <c r="W140" s="75"/>
      <c r="X140" s="75"/>
      <c r="Y140" s="75"/>
      <c r="Z140" s="96">
        <f>SUM(Tableau15[[#This Row],[A-1]:[G-5]])</f>
        <v>0</v>
      </c>
      <c r="AA140" s="96" t="str">
        <f>IF(AND(Z140&gt;0,Tableau15[[#This Row],[CDS]]=""),"Oui","Non")</f>
        <v>Non</v>
      </c>
      <c r="AB140" s="75"/>
      <c r="AC140" s="75"/>
      <c r="AD140" s="75"/>
      <c r="AE140" s="75"/>
      <c r="AF140" s="75"/>
      <c r="AG140" s="75"/>
      <c r="AH140" s="75"/>
      <c r="AI140" s="75"/>
      <c r="AJ140" s="81"/>
      <c r="AK140" s="75"/>
      <c r="AL140" s="75"/>
    </row>
    <row r="141" spans="1:38" ht="15.75" hidden="1" thickBot="1" x14ac:dyDescent="0.3">
      <c r="A141" s="75"/>
      <c r="B141" s="75"/>
      <c r="C141" s="35">
        <f>INDEX(Données!$F$2:$L$54,MATCH(F141,Données!$F$2:$F$54,0),2)</f>
        <v>43983</v>
      </c>
      <c r="D141" s="29" t="str">
        <f t="shared" si="4"/>
        <v>#4</v>
      </c>
      <c r="E141" s="7">
        <f>Données!H24</f>
        <v>43984</v>
      </c>
      <c r="F141" s="6" t="str">
        <f>INDEX(Données!$F$2:$L$54,MATCH('#4'!E141,Données!$G$2:$G$54,1),1)</f>
        <v>23</v>
      </c>
      <c r="G141" s="18" t="str">
        <f t="shared" si="5"/>
        <v>PS-4</v>
      </c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1"/>
      <c r="W141" s="75"/>
      <c r="X141" s="75"/>
      <c r="Y141" s="75"/>
      <c r="Z141" s="96">
        <f>SUM(Tableau15[[#This Row],[A-1]:[G-5]])</f>
        <v>0</v>
      </c>
      <c r="AA141" s="96" t="str">
        <f>IF(AND(Z141&gt;0,Tableau15[[#This Row],[CDS]]=""),"Oui","Non")</f>
        <v>Non</v>
      </c>
      <c r="AB141" s="75"/>
      <c r="AC141" s="75"/>
      <c r="AD141" s="75"/>
      <c r="AE141" s="75"/>
      <c r="AF141" s="75"/>
      <c r="AG141" s="75"/>
      <c r="AH141" s="75"/>
      <c r="AI141" s="75"/>
      <c r="AJ141" s="81"/>
      <c r="AK141" s="75"/>
      <c r="AL141" s="75"/>
    </row>
    <row r="142" spans="1:38" ht="15.75" hidden="1" thickBot="1" x14ac:dyDescent="0.3">
      <c r="A142" s="75"/>
      <c r="B142" s="75"/>
      <c r="C142" s="35">
        <f>INDEX(Données!$F$2:$L$54,MATCH(F142,Données!$F$2:$F$54,0),2)</f>
        <v>43983</v>
      </c>
      <c r="D142" s="29" t="str">
        <f t="shared" si="4"/>
        <v>#4</v>
      </c>
      <c r="E142" s="7">
        <f>Données!I24</f>
        <v>43985</v>
      </c>
      <c r="F142" s="6" t="str">
        <f>INDEX(Données!$F$2:$L$54,MATCH('#4'!E142,Données!$G$2:$G$54,1),1)</f>
        <v>23</v>
      </c>
      <c r="G142" s="18" t="str">
        <f t="shared" si="5"/>
        <v>PS-4</v>
      </c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1"/>
      <c r="W142" s="75"/>
      <c r="X142" s="75"/>
      <c r="Y142" s="75"/>
      <c r="Z142" s="96">
        <f>SUM(Tableau15[[#This Row],[A-1]:[G-5]])</f>
        <v>0</v>
      </c>
      <c r="AA142" s="96" t="str">
        <f>IF(AND(Z142&gt;0,Tableau15[[#This Row],[CDS]]=""),"Oui","Non")</f>
        <v>Non</v>
      </c>
      <c r="AB142" s="75"/>
      <c r="AC142" s="75"/>
      <c r="AD142" s="75"/>
      <c r="AE142" s="75"/>
      <c r="AF142" s="75"/>
      <c r="AG142" s="75"/>
      <c r="AH142" s="75"/>
      <c r="AI142" s="75"/>
      <c r="AJ142" s="81"/>
      <c r="AK142" s="75"/>
      <c r="AL142" s="75"/>
    </row>
    <row r="143" spans="1:38" ht="15.75" hidden="1" thickBot="1" x14ac:dyDescent="0.3">
      <c r="A143" s="75"/>
      <c r="B143" s="75"/>
      <c r="C143" s="35">
        <f>INDEX(Données!$F$2:$L$54,MATCH(F143,Données!$F$2:$F$54,0),2)</f>
        <v>43983</v>
      </c>
      <c r="D143" s="29" t="str">
        <f t="shared" si="4"/>
        <v>#4</v>
      </c>
      <c r="E143" s="7">
        <f>Données!J24</f>
        <v>43986</v>
      </c>
      <c r="F143" s="6" t="str">
        <f>INDEX(Données!$F$2:$L$54,MATCH('#4'!E143,Données!$G$2:$G$54,1),1)</f>
        <v>23</v>
      </c>
      <c r="G143" s="18" t="str">
        <f t="shared" si="5"/>
        <v>PS-4</v>
      </c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1"/>
      <c r="W143" s="75"/>
      <c r="X143" s="75"/>
      <c r="Y143" s="75"/>
      <c r="Z143" s="96">
        <f>SUM(Tableau15[[#This Row],[A-1]:[G-5]])</f>
        <v>0</v>
      </c>
      <c r="AA143" s="96" t="str">
        <f>IF(AND(Z143&gt;0,Tableau15[[#This Row],[CDS]]=""),"Oui","Non")</f>
        <v>Non</v>
      </c>
      <c r="AB143" s="75"/>
      <c r="AC143" s="75"/>
      <c r="AD143" s="75"/>
      <c r="AE143" s="75"/>
      <c r="AF143" s="75"/>
      <c r="AG143" s="75"/>
      <c r="AH143" s="75"/>
      <c r="AI143" s="75"/>
      <c r="AJ143" s="81"/>
      <c r="AK143" s="75"/>
      <c r="AL143" s="75"/>
    </row>
    <row r="144" spans="1:38" ht="15.75" hidden="1" thickBot="1" x14ac:dyDescent="0.3">
      <c r="A144" s="75"/>
      <c r="B144" s="75"/>
      <c r="C144" s="35">
        <f>INDEX(Données!$F$2:$L$54,MATCH(F144,Données!$F$2:$F$54,0),2)</f>
        <v>43983</v>
      </c>
      <c r="D144" s="29" t="str">
        <f t="shared" si="4"/>
        <v>#4</v>
      </c>
      <c r="E144" s="7">
        <f>Données!K24</f>
        <v>43987</v>
      </c>
      <c r="F144" s="6" t="str">
        <f>INDEX(Données!$F$2:$L$54,MATCH('#4'!E144,Données!$G$2:$G$54,1),1)</f>
        <v>23</v>
      </c>
      <c r="G144" s="18" t="str">
        <f t="shared" si="5"/>
        <v>PS-4</v>
      </c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1"/>
      <c r="W144" s="75"/>
      <c r="X144" s="75"/>
      <c r="Y144" s="75"/>
      <c r="Z144" s="96">
        <f>SUM(Tableau15[[#This Row],[A-1]:[G-5]])</f>
        <v>0</v>
      </c>
      <c r="AA144" s="96" t="str">
        <f>IF(AND(Z144&gt;0,Tableau15[[#This Row],[CDS]]=""),"Oui","Non")</f>
        <v>Non</v>
      </c>
      <c r="AB144" s="75"/>
      <c r="AC144" s="75"/>
      <c r="AD144" s="75"/>
      <c r="AE144" s="75"/>
      <c r="AF144" s="75"/>
      <c r="AG144" s="75"/>
      <c r="AH144" s="75"/>
      <c r="AI144" s="75"/>
      <c r="AJ144" s="81"/>
      <c r="AK144" s="75"/>
      <c r="AL144" s="75"/>
    </row>
    <row r="145" spans="1:38" ht="15.75" hidden="1" thickBot="1" x14ac:dyDescent="0.3">
      <c r="A145" s="75"/>
      <c r="B145" s="75"/>
      <c r="C145" s="35">
        <f>INDEX(Données!$F$2:$L$54,MATCH(F145,Données!$F$2:$F$54,0),2)</f>
        <v>43983</v>
      </c>
      <c r="D145" s="29" t="str">
        <f t="shared" si="4"/>
        <v>#4</v>
      </c>
      <c r="E145" s="7">
        <f>Données!L24</f>
        <v>43988</v>
      </c>
      <c r="F145" s="6" t="str">
        <f>INDEX(Données!$F$2:$L$54,MATCH('#4'!E145,Données!$G$2:$G$54,1),1)</f>
        <v>23</v>
      </c>
      <c r="G145" s="18" t="str">
        <f t="shared" si="5"/>
        <v>PS-4</v>
      </c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1"/>
      <c r="W145" s="75"/>
      <c r="X145" s="75"/>
      <c r="Y145" s="75"/>
      <c r="Z145" s="96">
        <f>SUM(Tableau15[[#This Row],[A-1]:[G-5]])</f>
        <v>0</v>
      </c>
      <c r="AA145" s="96" t="str">
        <f>IF(AND(Z145&gt;0,Tableau15[[#This Row],[CDS]]=""),"Oui","Non")</f>
        <v>Non</v>
      </c>
      <c r="AB145" s="75"/>
      <c r="AC145" s="75"/>
      <c r="AD145" s="75"/>
      <c r="AE145" s="75"/>
      <c r="AF145" s="75"/>
      <c r="AG145" s="75"/>
      <c r="AH145" s="75"/>
      <c r="AI145" s="75"/>
      <c r="AJ145" s="81"/>
      <c r="AK145" s="75"/>
      <c r="AL145" s="75"/>
    </row>
    <row r="146" spans="1:38" ht="15.75" hidden="1" thickBot="1" x14ac:dyDescent="0.3">
      <c r="A146" s="75"/>
      <c r="B146" s="75"/>
      <c r="C146" s="35">
        <f>INDEX(Données!$F$2:$L$54,MATCH(F146,Données!$F$2:$F$54,0),2)</f>
        <v>43990</v>
      </c>
      <c r="D146" s="29" t="str">
        <f t="shared" si="4"/>
        <v>#4</v>
      </c>
      <c r="E146" s="7">
        <f>Données!G25</f>
        <v>43990</v>
      </c>
      <c r="F146" s="6" t="str">
        <f>INDEX(Données!$F$2:$L$54,MATCH('#4'!E146,Données!$G$2:$G$54,1),1)</f>
        <v>24</v>
      </c>
      <c r="G146" s="18" t="str">
        <f t="shared" si="5"/>
        <v>PS-4</v>
      </c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1"/>
      <c r="W146" s="75"/>
      <c r="X146" s="75"/>
      <c r="Y146" s="75"/>
      <c r="Z146" s="96">
        <f>SUM(Tableau15[[#This Row],[A-1]:[G-5]])</f>
        <v>0</v>
      </c>
      <c r="AA146" s="96" t="str">
        <f>IF(AND(Z146&gt;0,Tableau15[[#This Row],[CDS]]=""),"Oui","Non")</f>
        <v>Non</v>
      </c>
      <c r="AB146" s="75"/>
      <c r="AC146" s="75"/>
      <c r="AD146" s="75"/>
      <c r="AE146" s="75"/>
      <c r="AF146" s="75"/>
      <c r="AG146" s="75"/>
      <c r="AH146" s="75"/>
      <c r="AI146" s="75"/>
      <c r="AJ146" s="81"/>
      <c r="AK146" s="75"/>
      <c r="AL146" s="75"/>
    </row>
    <row r="147" spans="1:38" ht="15.75" hidden="1" thickBot="1" x14ac:dyDescent="0.3">
      <c r="A147" s="75"/>
      <c r="B147" s="75"/>
      <c r="C147" s="35">
        <f>INDEX(Données!$F$2:$L$54,MATCH(F147,Données!$F$2:$F$54,0),2)</f>
        <v>43990</v>
      </c>
      <c r="D147" s="29" t="str">
        <f t="shared" si="4"/>
        <v>#4</v>
      </c>
      <c r="E147" s="7">
        <f>Données!H25</f>
        <v>43991</v>
      </c>
      <c r="F147" s="6" t="str">
        <f>INDEX(Données!$F$2:$L$54,MATCH('#4'!E147,Données!$G$2:$G$54,1),1)</f>
        <v>24</v>
      </c>
      <c r="G147" s="18" t="str">
        <f t="shared" si="5"/>
        <v>PS-4</v>
      </c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1"/>
      <c r="W147" s="75"/>
      <c r="X147" s="75"/>
      <c r="Y147" s="75"/>
      <c r="Z147" s="96">
        <f>SUM(Tableau15[[#This Row],[A-1]:[G-5]])</f>
        <v>0</v>
      </c>
      <c r="AA147" s="96" t="str">
        <f>IF(AND(Z147&gt;0,Tableau15[[#This Row],[CDS]]=""),"Oui","Non")</f>
        <v>Non</v>
      </c>
      <c r="AB147" s="75"/>
      <c r="AC147" s="75"/>
      <c r="AD147" s="75"/>
      <c r="AE147" s="75"/>
      <c r="AF147" s="75"/>
      <c r="AG147" s="75"/>
      <c r="AH147" s="75"/>
      <c r="AI147" s="75"/>
      <c r="AJ147" s="81"/>
      <c r="AK147" s="75"/>
      <c r="AL147" s="75"/>
    </row>
    <row r="148" spans="1:38" ht="15.75" hidden="1" thickBot="1" x14ac:dyDescent="0.3">
      <c r="A148" s="75"/>
      <c r="B148" s="75"/>
      <c r="C148" s="35">
        <f>INDEX(Données!$F$2:$L$54,MATCH(F148,Données!$F$2:$F$54,0),2)</f>
        <v>43990</v>
      </c>
      <c r="D148" s="29" t="str">
        <f t="shared" si="4"/>
        <v>#4</v>
      </c>
      <c r="E148" s="7">
        <f>Données!I25</f>
        <v>43992</v>
      </c>
      <c r="F148" s="6" t="str">
        <f>INDEX(Données!$F$2:$L$54,MATCH('#4'!E148,Données!$G$2:$G$54,1),1)</f>
        <v>24</v>
      </c>
      <c r="G148" s="18" t="str">
        <f t="shared" si="5"/>
        <v>PS-4</v>
      </c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1"/>
      <c r="W148" s="75"/>
      <c r="X148" s="75"/>
      <c r="Y148" s="75"/>
      <c r="Z148" s="96">
        <f>SUM(Tableau15[[#This Row],[A-1]:[G-5]])</f>
        <v>0</v>
      </c>
      <c r="AA148" s="96" t="str">
        <f>IF(AND(Z148&gt;0,Tableau15[[#This Row],[CDS]]=""),"Oui","Non")</f>
        <v>Non</v>
      </c>
      <c r="AB148" s="75"/>
      <c r="AC148" s="75"/>
      <c r="AD148" s="75"/>
      <c r="AE148" s="75"/>
      <c r="AF148" s="75"/>
      <c r="AG148" s="75"/>
      <c r="AH148" s="75"/>
      <c r="AI148" s="75"/>
      <c r="AJ148" s="81"/>
      <c r="AK148" s="75"/>
      <c r="AL148" s="75"/>
    </row>
    <row r="149" spans="1:38" ht="15.75" hidden="1" thickBot="1" x14ac:dyDescent="0.3">
      <c r="A149" s="75"/>
      <c r="B149" s="75"/>
      <c r="C149" s="35">
        <f>INDEX(Données!$F$2:$L$54,MATCH(F149,Données!$F$2:$F$54,0),2)</f>
        <v>43990</v>
      </c>
      <c r="D149" s="29" t="str">
        <f t="shared" si="4"/>
        <v>#4</v>
      </c>
      <c r="E149" s="7">
        <f>Données!J25</f>
        <v>43993</v>
      </c>
      <c r="F149" s="6" t="str">
        <f>INDEX(Données!$F$2:$L$54,MATCH('#4'!E149,Données!$G$2:$G$54,1),1)</f>
        <v>24</v>
      </c>
      <c r="G149" s="18" t="str">
        <f t="shared" si="5"/>
        <v>PS-4</v>
      </c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1"/>
      <c r="W149" s="75"/>
      <c r="X149" s="75"/>
      <c r="Y149" s="75"/>
      <c r="Z149" s="96">
        <f>SUM(Tableau15[[#This Row],[A-1]:[G-5]])</f>
        <v>0</v>
      </c>
      <c r="AA149" s="96" t="str">
        <f>IF(AND(Z149&gt;0,Tableau15[[#This Row],[CDS]]=""),"Oui","Non")</f>
        <v>Non</v>
      </c>
      <c r="AB149" s="75"/>
      <c r="AC149" s="75"/>
      <c r="AD149" s="75"/>
      <c r="AE149" s="75"/>
      <c r="AF149" s="75"/>
      <c r="AG149" s="75"/>
      <c r="AH149" s="75"/>
      <c r="AI149" s="75"/>
      <c r="AJ149" s="81"/>
      <c r="AK149" s="75"/>
      <c r="AL149" s="75"/>
    </row>
    <row r="150" spans="1:38" ht="15.75" hidden="1" thickBot="1" x14ac:dyDescent="0.3">
      <c r="A150" s="75"/>
      <c r="B150" s="75"/>
      <c r="C150" s="35">
        <f>INDEX(Données!$F$2:$L$54,MATCH(F150,Données!$F$2:$F$54,0),2)</f>
        <v>43990</v>
      </c>
      <c r="D150" s="29" t="str">
        <f t="shared" si="4"/>
        <v>#4</v>
      </c>
      <c r="E150" s="7">
        <f>Données!K25</f>
        <v>43994</v>
      </c>
      <c r="F150" s="6" t="str">
        <f>INDEX(Données!$F$2:$L$54,MATCH('#4'!E150,Données!$G$2:$G$54,1),1)</f>
        <v>24</v>
      </c>
      <c r="G150" s="18" t="str">
        <f t="shared" si="5"/>
        <v>PS-4</v>
      </c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1"/>
      <c r="W150" s="75"/>
      <c r="X150" s="75"/>
      <c r="Y150" s="75"/>
      <c r="Z150" s="96">
        <f>SUM(Tableau15[[#This Row],[A-1]:[G-5]])</f>
        <v>0</v>
      </c>
      <c r="AA150" s="96" t="str">
        <f>IF(AND(Z150&gt;0,Tableau15[[#This Row],[CDS]]=""),"Oui","Non")</f>
        <v>Non</v>
      </c>
      <c r="AB150" s="75"/>
      <c r="AC150" s="75"/>
      <c r="AD150" s="75"/>
      <c r="AE150" s="75"/>
      <c r="AF150" s="75"/>
      <c r="AG150" s="75"/>
      <c r="AH150" s="75"/>
      <c r="AI150" s="75"/>
      <c r="AJ150" s="81"/>
      <c r="AK150" s="75"/>
      <c r="AL150" s="75"/>
    </row>
    <row r="151" spans="1:38" ht="15.75" hidden="1" thickBot="1" x14ac:dyDescent="0.3">
      <c r="A151" s="75"/>
      <c r="B151" s="75"/>
      <c r="C151" s="35">
        <f>INDEX(Données!$F$2:$L$54,MATCH(F151,Données!$F$2:$F$54,0),2)</f>
        <v>43990</v>
      </c>
      <c r="D151" s="29" t="str">
        <f t="shared" si="4"/>
        <v>#4</v>
      </c>
      <c r="E151" s="7">
        <f>Données!L25</f>
        <v>43995</v>
      </c>
      <c r="F151" s="6" t="str">
        <f>INDEX(Données!$F$2:$L$54,MATCH('#4'!E151,Données!$G$2:$G$54,1),1)</f>
        <v>24</v>
      </c>
      <c r="G151" s="18" t="str">
        <f t="shared" si="5"/>
        <v>PS-4</v>
      </c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1"/>
      <c r="W151" s="75"/>
      <c r="X151" s="75"/>
      <c r="Y151" s="75"/>
      <c r="Z151" s="96">
        <f>SUM(Tableau15[[#This Row],[A-1]:[G-5]])</f>
        <v>0</v>
      </c>
      <c r="AA151" s="96" t="str">
        <f>IF(AND(Z151&gt;0,Tableau15[[#This Row],[CDS]]=""),"Oui","Non")</f>
        <v>Non</v>
      </c>
      <c r="AB151" s="75"/>
      <c r="AC151" s="75"/>
      <c r="AD151" s="75"/>
      <c r="AE151" s="75"/>
      <c r="AF151" s="75"/>
      <c r="AG151" s="75"/>
      <c r="AH151" s="75"/>
      <c r="AI151" s="75"/>
      <c r="AJ151" s="81"/>
      <c r="AK151" s="75"/>
      <c r="AL151" s="75"/>
    </row>
    <row r="152" spans="1:38" ht="15.75" hidden="1" thickBot="1" x14ac:dyDescent="0.3">
      <c r="A152" s="75"/>
      <c r="B152" s="75"/>
      <c r="C152" s="35">
        <f>INDEX(Données!$F$2:$L$54,MATCH(F152,Données!$F$2:$F$54,0),2)</f>
        <v>43997</v>
      </c>
      <c r="D152" s="29" t="str">
        <f t="shared" si="4"/>
        <v>#4</v>
      </c>
      <c r="E152" s="7">
        <f>Données!G26</f>
        <v>43997</v>
      </c>
      <c r="F152" s="6" t="str">
        <f>INDEX(Données!$F$2:$L$54,MATCH('#4'!E152,Données!$G$2:$G$54,1),1)</f>
        <v>25</v>
      </c>
      <c r="G152" s="18" t="str">
        <f t="shared" si="5"/>
        <v>PS-4</v>
      </c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1"/>
      <c r="W152" s="75"/>
      <c r="X152" s="75"/>
      <c r="Y152" s="75"/>
      <c r="Z152" s="96">
        <f>SUM(Tableau15[[#This Row],[A-1]:[G-5]])</f>
        <v>0</v>
      </c>
      <c r="AA152" s="96" t="str">
        <f>IF(AND(Z152&gt;0,Tableau15[[#This Row],[CDS]]=""),"Oui","Non")</f>
        <v>Non</v>
      </c>
      <c r="AB152" s="75"/>
      <c r="AC152" s="75"/>
      <c r="AD152" s="75"/>
      <c r="AE152" s="75"/>
      <c r="AF152" s="75"/>
      <c r="AG152" s="75"/>
      <c r="AH152" s="75"/>
      <c r="AI152" s="75"/>
      <c r="AJ152" s="81"/>
      <c r="AK152" s="75"/>
      <c r="AL152" s="75"/>
    </row>
    <row r="153" spans="1:38" ht="15.75" hidden="1" thickBot="1" x14ac:dyDescent="0.3">
      <c r="A153" s="75"/>
      <c r="B153" s="75"/>
      <c r="C153" s="35">
        <f>INDEX(Données!$F$2:$L$54,MATCH(F153,Données!$F$2:$F$54,0),2)</f>
        <v>43997</v>
      </c>
      <c r="D153" s="29" t="str">
        <f t="shared" si="4"/>
        <v>#4</v>
      </c>
      <c r="E153" s="7">
        <f>Données!H26</f>
        <v>43998</v>
      </c>
      <c r="F153" s="6" t="str">
        <f>INDEX(Données!$F$2:$L$54,MATCH('#4'!E153,Données!$G$2:$G$54,1),1)</f>
        <v>25</v>
      </c>
      <c r="G153" s="18" t="str">
        <f t="shared" si="5"/>
        <v>PS-4</v>
      </c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1"/>
      <c r="W153" s="75"/>
      <c r="X153" s="75"/>
      <c r="Y153" s="75"/>
      <c r="Z153" s="96">
        <f>SUM(Tableau15[[#This Row],[A-1]:[G-5]])</f>
        <v>0</v>
      </c>
      <c r="AA153" s="96" t="str">
        <f>IF(AND(Z153&gt;0,Tableau15[[#This Row],[CDS]]=""),"Oui","Non")</f>
        <v>Non</v>
      </c>
      <c r="AB153" s="75"/>
      <c r="AC153" s="75"/>
      <c r="AD153" s="75"/>
      <c r="AE153" s="75"/>
      <c r="AF153" s="75"/>
      <c r="AG153" s="75"/>
      <c r="AH153" s="75"/>
      <c r="AI153" s="75"/>
      <c r="AJ153" s="81"/>
      <c r="AK153" s="75"/>
      <c r="AL153" s="75"/>
    </row>
    <row r="154" spans="1:38" ht="15.75" hidden="1" thickBot="1" x14ac:dyDescent="0.3">
      <c r="A154" s="75"/>
      <c r="B154" s="75"/>
      <c r="C154" s="35">
        <f>INDEX(Données!$F$2:$L$54,MATCH(F154,Données!$F$2:$F$54,0),2)</f>
        <v>43997</v>
      </c>
      <c r="D154" s="29" t="str">
        <f t="shared" si="4"/>
        <v>#4</v>
      </c>
      <c r="E154" s="7">
        <f>Données!I26</f>
        <v>43999</v>
      </c>
      <c r="F154" s="6" t="str">
        <f>INDEX(Données!$F$2:$L$54,MATCH('#4'!E154,Données!$G$2:$G$54,1),1)</f>
        <v>25</v>
      </c>
      <c r="G154" s="18" t="str">
        <f t="shared" si="5"/>
        <v>PS-4</v>
      </c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1"/>
      <c r="W154" s="75"/>
      <c r="X154" s="75"/>
      <c r="Y154" s="75"/>
      <c r="Z154" s="96">
        <f>SUM(Tableau15[[#This Row],[A-1]:[G-5]])</f>
        <v>0</v>
      </c>
      <c r="AA154" s="96" t="str">
        <f>IF(AND(Z154&gt;0,Tableau15[[#This Row],[CDS]]=""),"Oui","Non")</f>
        <v>Non</v>
      </c>
      <c r="AB154" s="75"/>
      <c r="AC154" s="75"/>
      <c r="AD154" s="75"/>
      <c r="AE154" s="75"/>
      <c r="AF154" s="75"/>
      <c r="AG154" s="75"/>
      <c r="AH154" s="75"/>
      <c r="AI154" s="75"/>
      <c r="AJ154" s="81"/>
      <c r="AK154" s="75"/>
      <c r="AL154" s="75"/>
    </row>
    <row r="155" spans="1:38" ht="15.75" hidden="1" thickBot="1" x14ac:dyDescent="0.3">
      <c r="A155" s="75"/>
      <c r="B155" s="75"/>
      <c r="C155" s="35">
        <f>INDEX(Données!$F$2:$L$54,MATCH(F155,Données!$F$2:$F$54,0),2)</f>
        <v>43997</v>
      </c>
      <c r="D155" s="29" t="str">
        <f t="shared" si="4"/>
        <v>#4</v>
      </c>
      <c r="E155" s="7">
        <f>Données!J26</f>
        <v>44000</v>
      </c>
      <c r="F155" s="6" t="str">
        <f>INDEX(Données!$F$2:$L$54,MATCH('#4'!E155,Données!$G$2:$G$54,1),1)</f>
        <v>25</v>
      </c>
      <c r="G155" s="18" t="str">
        <f t="shared" si="5"/>
        <v>PS-4</v>
      </c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1"/>
      <c r="W155" s="75"/>
      <c r="X155" s="75"/>
      <c r="Y155" s="75"/>
      <c r="Z155" s="96">
        <f>SUM(Tableau15[[#This Row],[A-1]:[G-5]])</f>
        <v>0</v>
      </c>
      <c r="AA155" s="96" t="str">
        <f>IF(AND(Z155&gt;0,Tableau15[[#This Row],[CDS]]=""),"Oui","Non")</f>
        <v>Non</v>
      </c>
      <c r="AB155" s="75"/>
      <c r="AC155" s="75"/>
      <c r="AD155" s="75"/>
      <c r="AE155" s="75"/>
      <c r="AF155" s="75"/>
      <c r="AG155" s="75"/>
      <c r="AH155" s="75"/>
      <c r="AI155" s="75"/>
      <c r="AJ155" s="81"/>
      <c r="AK155" s="75"/>
      <c r="AL155" s="75"/>
    </row>
    <row r="156" spans="1:38" ht="15.75" hidden="1" thickBot="1" x14ac:dyDescent="0.3">
      <c r="A156" s="75"/>
      <c r="B156" s="75"/>
      <c r="C156" s="35">
        <f>INDEX(Données!$F$2:$L$54,MATCH(F156,Données!$F$2:$F$54,0),2)</f>
        <v>43997</v>
      </c>
      <c r="D156" s="29" t="str">
        <f t="shared" si="4"/>
        <v>#4</v>
      </c>
      <c r="E156" s="7">
        <f>Données!K26</f>
        <v>44001</v>
      </c>
      <c r="F156" s="6" t="str">
        <f>INDEX(Données!$F$2:$L$54,MATCH('#4'!E156,Données!$G$2:$G$54,1),1)</f>
        <v>25</v>
      </c>
      <c r="G156" s="18" t="str">
        <f t="shared" si="5"/>
        <v>PS-4</v>
      </c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1"/>
      <c r="W156" s="75"/>
      <c r="X156" s="75"/>
      <c r="Y156" s="75"/>
      <c r="Z156" s="96">
        <f>SUM(Tableau15[[#This Row],[A-1]:[G-5]])</f>
        <v>0</v>
      </c>
      <c r="AA156" s="96" t="str">
        <f>IF(AND(Z156&gt;0,Tableau15[[#This Row],[CDS]]=""),"Oui","Non")</f>
        <v>Non</v>
      </c>
      <c r="AB156" s="75"/>
      <c r="AC156" s="75"/>
      <c r="AD156" s="75"/>
      <c r="AE156" s="75"/>
      <c r="AF156" s="75"/>
      <c r="AG156" s="75"/>
      <c r="AH156" s="75"/>
      <c r="AI156" s="75"/>
      <c r="AJ156" s="81"/>
      <c r="AK156" s="75"/>
      <c r="AL156" s="75"/>
    </row>
    <row r="157" spans="1:38" ht="15.75" hidden="1" thickBot="1" x14ac:dyDescent="0.3">
      <c r="A157" s="75"/>
      <c r="B157" s="75"/>
      <c r="C157" s="35">
        <f>INDEX(Données!$F$2:$L$54,MATCH(F157,Données!$F$2:$F$54,0),2)</f>
        <v>43997</v>
      </c>
      <c r="D157" s="29" t="str">
        <f t="shared" si="4"/>
        <v>#4</v>
      </c>
      <c r="E157" s="7">
        <f>Données!L26</f>
        <v>44002</v>
      </c>
      <c r="F157" s="6" t="str">
        <f>INDEX(Données!$F$2:$L$54,MATCH('#4'!E157,Données!$G$2:$G$54,1),1)</f>
        <v>25</v>
      </c>
      <c r="G157" s="18" t="str">
        <f t="shared" si="5"/>
        <v>PS-4</v>
      </c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1"/>
      <c r="W157" s="75"/>
      <c r="X157" s="75"/>
      <c r="Y157" s="75"/>
      <c r="Z157" s="96">
        <f>SUM(Tableau15[[#This Row],[A-1]:[G-5]])</f>
        <v>0</v>
      </c>
      <c r="AA157" s="96" t="str">
        <f>IF(AND(Z157&gt;0,Tableau15[[#This Row],[CDS]]=""),"Oui","Non")</f>
        <v>Non</v>
      </c>
      <c r="AB157" s="75"/>
      <c r="AC157" s="75"/>
      <c r="AD157" s="75"/>
      <c r="AE157" s="75"/>
      <c r="AF157" s="75"/>
      <c r="AG157" s="75"/>
      <c r="AH157" s="75"/>
      <c r="AI157" s="75"/>
      <c r="AJ157" s="81"/>
      <c r="AK157" s="75"/>
      <c r="AL157" s="75"/>
    </row>
    <row r="158" spans="1:38" ht="15.75" hidden="1" thickBot="1" x14ac:dyDescent="0.3">
      <c r="A158" s="75"/>
      <c r="B158" s="75"/>
      <c r="C158" s="35">
        <f>INDEX(Données!$F$2:$L$54,MATCH(F158,Données!$F$2:$F$54,0),2)</f>
        <v>44004</v>
      </c>
      <c r="D158" s="29" t="str">
        <f t="shared" si="4"/>
        <v>#4</v>
      </c>
      <c r="E158" s="7">
        <f>Données!G27</f>
        <v>44004</v>
      </c>
      <c r="F158" s="6" t="str">
        <f>INDEX(Données!$F$2:$L$54,MATCH('#4'!E158,Données!$G$2:$G$54,1),1)</f>
        <v>26</v>
      </c>
      <c r="G158" s="18" t="str">
        <f t="shared" si="5"/>
        <v>PS-4</v>
      </c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1"/>
      <c r="W158" s="75"/>
      <c r="X158" s="75"/>
      <c r="Y158" s="75"/>
      <c r="Z158" s="96">
        <f>SUM(Tableau15[[#This Row],[A-1]:[G-5]])</f>
        <v>0</v>
      </c>
      <c r="AA158" s="96" t="str">
        <f>IF(AND(Z158&gt;0,Tableau15[[#This Row],[CDS]]=""),"Oui","Non")</f>
        <v>Non</v>
      </c>
      <c r="AB158" s="75"/>
      <c r="AC158" s="75"/>
      <c r="AD158" s="75"/>
      <c r="AE158" s="75"/>
      <c r="AF158" s="75"/>
      <c r="AG158" s="75"/>
      <c r="AH158" s="75"/>
      <c r="AI158" s="75"/>
      <c r="AJ158" s="81"/>
      <c r="AK158" s="75"/>
      <c r="AL158" s="75"/>
    </row>
    <row r="159" spans="1:38" ht="15.75" hidden="1" thickBot="1" x14ac:dyDescent="0.3">
      <c r="A159" s="75"/>
      <c r="B159" s="75"/>
      <c r="C159" s="35">
        <f>INDEX(Données!$F$2:$L$54,MATCH(F159,Données!$F$2:$F$54,0),2)</f>
        <v>44004</v>
      </c>
      <c r="D159" s="29" t="str">
        <f t="shared" si="4"/>
        <v>#4</v>
      </c>
      <c r="E159" s="7">
        <f>Données!H27</f>
        <v>44005</v>
      </c>
      <c r="F159" s="6" t="str">
        <f>INDEX(Données!$F$2:$L$54,MATCH('#4'!E159,Données!$G$2:$G$54,1),1)</f>
        <v>26</v>
      </c>
      <c r="G159" s="18" t="str">
        <f t="shared" si="5"/>
        <v>PS-4</v>
      </c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1"/>
      <c r="W159" s="75"/>
      <c r="X159" s="75"/>
      <c r="Y159" s="75"/>
      <c r="Z159" s="96">
        <f>SUM(Tableau15[[#This Row],[A-1]:[G-5]])</f>
        <v>0</v>
      </c>
      <c r="AA159" s="96" t="str">
        <f>IF(AND(Z159&gt;0,Tableau15[[#This Row],[CDS]]=""),"Oui","Non")</f>
        <v>Non</v>
      </c>
      <c r="AB159" s="75"/>
      <c r="AC159" s="75"/>
      <c r="AD159" s="75"/>
      <c r="AE159" s="75"/>
      <c r="AF159" s="75"/>
      <c r="AG159" s="75"/>
      <c r="AH159" s="75"/>
      <c r="AI159" s="75"/>
      <c r="AJ159" s="81"/>
      <c r="AK159" s="75"/>
      <c r="AL159" s="75"/>
    </row>
    <row r="160" spans="1:38" ht="15.75" hidden="1" thickBot="1" x14ac:dyDescent="0.3">
      <c r="A160" s="75"/>
      <c r="B160" s="75"/>
      <c r="C160" s="35">
        <f>INDEX(Données!$F$2:$L$54,MATCH(F160,Données!$F$2:$F$54,0),2)</f>
        <v>44004</v>
      </c>
      <c r="D160" s="29" t="str">
        <f t="shared" si="4"/>
        <v>#4</v>
      </c>
      <c r="E160" s="7">
        <f>Données!I27</f>
        <v>44006</v>
      </c>
      <c r="F160" s="6" t="str">
        <f>INDEX(Données!$F$2:$L$54,MATCH('#4'!E160,Données!$G$2:$G$54,1),1)</f>
        <v>26</v>
      </c>
      <c r="G160" s="18" t="str">
        <f t="shared" si="5"/>
        <v>PS-4</v>
      </c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1"/>
      <c r="W160" s="75"/>
      <c r="X160" s="75"/>
      <c r="Y160" s="75"/>
      <c r="Z160" s="96">
        <f>SUM(Tableau15[[#This Row],[A-1]:[G-5]])</f>
        <v>0</v>
      </c>
      <c r="AA160" s="96" t="str">
        <f>IF(AND(Z160&gt;0,Tableau15[[#This Row],[CDS]]=""),"Oui","Non")</f>
        <v>Non</v>
      </c>
      <c r="AB160" s="75"/>
      <c r="AC160" s="75"/>
      <c r="AD160" s="75"/>
      <c r="AE160" s="75"/>
      <c r="AF160" s="75"/>
      <c r="AG160" s="75"/>
      <c r="AH160" s="75"/>
      <c r="AI160" s="75"/>
      <c r="AJ160" s="81"/>
      <c r="AK160" s="75"/>
      <c r="AL160" s="75"/>
    </row>
    <row r="161" spans="1:38" ht="15.75" hidden="1" thickBot="1" x14ac:dyDescent="0.3">
      <c r="A161" s="75"/>
      <c r="B161" s="75"/>
      <c r="C161" s="35">
        <f>INDEX(Données!$F$2:$L$54,MATCH(F161,Données!$F$2:$F$54,0),2)</f>
        <v>44004</v>
      </c>
      <c r="D161" s="29" t="str">
        <f t="shared" si="4"/>
        <v>#4</v>
      </c>
      <c r="E161" s="7">
        <f>Données!J27</f>
        <v>44007</v>
      </c>
      <c r="F161" s="6" t="str">
        <f>INDEX(Données!$F$2:$L$54,MATCH('#4'!E161,Données!$G$2:$G$54,1),1)</f>
        <v>26</v>
      </c>
      <c r="G161" s="18" t="str">
        <f t="shared" si="5"/>
        <v>PS-4</v>
      </c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1"/>
      <c r="W161" s="75"/>
      <c r="X161" s="75"/>
      <c r="Y161" s="75"/>
      <c r="Z161" s="96">
        <f>SUM(Tableau15[[#This Row],[A-1]:[G-5]])</f>
        <v>0</v>
      </c>
      <c r="AA161" s="96" t="str">
        <f>IF(AND(Z161&gt;0,Tableau15[[#This Row],[CDS]]=""),"Oui","Non")</f>
        <v>Non</v>
      </c>
      <c r="AB161" s="75"/>
      <c r="AC161" s="75"/>
      <c r="AD161" s="75"/>
      <c r="AE161" s="75"/>
      <c r="AF161" s="75"/>
      <c r="AG161" s="75"/>
      <c r="AH161" s="75"/>
      <c r="AI161" s="75"/>
      <c r="AJ161" s="81"/>
      <c r="AK161" s="75"/>
      <c r="AL161" s="75"/>
    </row>
    <row r="162" spans="1:38" ht="15.75" hidden="1" thickBot="1" x14ac:dyDescent="0.3">
      <c r="A162" s="75"/>
      <c r="B162" s="75"/>
      <c r="C162" s="35">
        <f>INDEX(Données!$F$2:$L$54,MATCH(F162,Données!$F$2:$F$54,0),2)</f>
        <v>44004</v>
      </c>
      <c r="D162" s="29" t="str">
        <f t="shared" si="4"/>
        <v>#4</v>
      </c>
      <c r="E162" s="7">
        <f>Données!K27</f>
        <v>44008</v>
      </c>
      <c r="F162" s="6" t="str">
        <f>INDEX(Données!$F$2:$L$54,MATCH('#4'!E162,Données!$G$2:$G$54,1),1)</f>
        <v>26</v>
      </c>
      <c r="G162" s="18" t="str">
        <f t="shared" si="5"/>
        <v>PS-4</v>
      </c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1"/>
      <c r="W162" s="75"/>
      <c r="X162" s="75"/>
      <c r="Y162" s="75"/>
      <c r="Z162" s="96">
        <f>SUM(Tableau15[[#This Row],[A-1]:[G-5]])</f>
        <v>0</v>
      </c>
      <c r="AA162" s="96" t="str">
        <f>IF(AND(Z162&gt;0,Tableau15[[#This Row],[CDS]]=""),"Oui","Non")</f>
        <v>Non</v>
      </c>
      <c r="AB162" s="75"/>
      <c r="AC162" s="75"/>
      <c r="AD162" s="75"/>
      <c r="AE162" s="75"/>
      <c r="AF162" s="75"/>
      <c r="AG162" s="75"/>
      <c r="AH162" s="75"/>
      <c r="AI162" s="75"/>
      <c r="AJ162" s="81"/>
      <c r="AK162" s="75"/>
      <c r="AL162" s="75"/>
    </row>
    <row r="163" spans="1:38" ht="15.75" hidden="1" thickBot="1" x14ac:dyDescent="0.3">
      <c r="A163" s="75"/>
      <c r="B163" s="75"/>
      <c r="C163" s="35">
        <f>INDEX(Données!$F$2:$L$54,MATCH(F163,Données!$F$2:$F$54,0),2)</f>
        <v>44004</v>
      </c>
      <c r="D163" s="29" t="str">
        <f t="shared" si="4"/>
        <v>#4</v>
      </c>
      <c r="E163" s="7">
        <f>Données!L27</f>
        <v>44009</v>
      </c>
      <c r="F163" s="6" t="str">
        <f>INDEX(Données!$F$2:$L$54,MATCH('#4'!E163,Données!$G$2:$G$54,1),1)</f>
        <v>26</v>
      </c>
      <c r="G163" s="18" t="str">
        <f t="shared" si="5"/>
        <v>PS-4</v>
      </c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1"/>
      <c r="W163" s="75"/>
      <c r="X163" s="75"/>
      <c r="Y163" s="75"/>
      <c r="Z163" s="96">
        <f>SUM(Tableau15[[#This Row],[A-1]:[G-5]])</f>
        <v>0</v>
      </c>
      <c r="AA163" s="96" t="str">
        <f>IF(AND(Z163&gt;0,Tableau15[[#This Row],[CDS]]=""),"Oui","Non")</f>
        <v>Non</v>
      </c>
      <c r="AB163" s="75"/>
      <c r="AC163" s="75"/>
      <c r="AD163" s="75"/>
      <c r="AE163" s="75"/>
      <c r="AF163" s="75"/>
      <c r="AG163" s="75"/>
      <c r="AH163" s="75"/>
      <c r="AI163" s="75"/>
      <c r="AJ163" s="81"/>
      <c r="AK163" s="75"/>
      <c r="AL163" s="75"/>
    </row>
    <row r="164" spans="1:38" ht="15.75" hidden="1" thickBot="1" x14ac:dyDescent="0.3">
      <c r="A164" s="75"/>
      <c r="B164" s="75"/>
      <c r="C164" s="35">
        <f>INDEX(Données!$F$2:$L$54,MATCH(F164,Données!$F$2:$F$54,0),2)</f>
        <v>44011</v>
      </c>
      <c r="D164" s="29" t="str">
        <f t="shared" si="4"/>
        <v>#4</v>
      </c>
      <c r="E164" s="7">
        <f>Données!G28</f>
        <v>44011</v>
      </c>
      <c r="F164" s="6" t="str">
        <f>INDEX(Données!$F$2:$L$54,MATCH('#4'!E164,Données!$G$2:$G$54,1),1)</f>
        <v>27</v>
      </c>
      <c r="G164" s="18" t="str">
        <f t="shared" si="5"/>
        <v>PS-4</v>
      </c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1"/>
      <c r="W164" s="75"/>
      <c r="X164" s="75"/>
      <c r="Y164" s="75"/>
      <c r="Z164" s="96">
        <f>SUM(Tableau15[[#This Row],[A-1]:[G-5]])</f>
        <v>0</v>
      </c>
      <c r="AA164" s="96" t="str">
        <f>IF(AND(Z164&gt;0,Tableau15[[#This Row],[CDS]]=""),"Oui","Non")</f>
        <v>Non</v>
      </c>
      <c r="AB164" s="75"/>
      <c r="AC164" s="75"/>
      <c r="AD164" s="75"/>
      <c r="AE164" s="75"/>
      <c r="AF164" s="75"/>
      <c r="AG164" s="75"/>
      <c r="AH164" s="75"/>
      <c r="AI164" s="75"/>
      <c r="AJ164" s="81"/>
      <c r="AK164" s="75"/>
      <c r="AL164" s="75"/>
    </row>
    <row r="165" spans="1:38" ht="15.75" hidden="1" thickBot="1" x14ac:dyDescent="0.3">
      <c r="A165" s="75"/>
      <c r="B165" s="75"/>
      <c r="C165" s="35">
        <f>INDEX(Données!$F$2:$L$54,MATCH(F165,Données!$F$2:$F$54,0),2)</f>
        <v>44011</v>
      </c>
      <c r="D165" s="29" t="str">
        <f t="shared" si="4"/>
        <v>#4</v>
      </c>
      <c r="E165" s="7">
        <f>Données!H28</f>
        <v>44012</v>
      </c>
      <c r="F165" s="6" t="str">
        <f>INDEX(Données!$F$2:$L$54,MATCH('#4'!E165,Données!$G$2:$G$54,1),1)</f>
        <v>27</v>
      </c>
      <c r="G165" s="18" t="str">
        <f t="shared" si="5"/>
        <v>PS-4</v>
      </c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1"/>
      <c r="W165" s="75"/>
      <c r="X165" s="75"/>
      <c r="Y165" s="75"/>
      <c r="Z165" s="96">
        <f>SUM(Tableau15[[#This Row],[A-1]:[G-5]])</f>
        <v>0</v>
      </c>
      <c r="AA165" s="96" t="str">
        <f>IF(AND(Z165&gt;0,Tableau15[[#This Row],[CDS]]=""),"Oui","Non")</f>
        <v>Non</v>
      </c>
      <c r="AB165" s="75"/>
      <c r="AC165" s="75"/>
      <c r="AD165" s="75"/>
      <c r="AE165" s="75"/>
      <c r="AF165" s="75"/>
      <c r="AG165" s="75"/>
      <c r="AH165" s="75"/>
      <c r="AI165" s="75"/>
      <c r="AJ165" s="81"/>
      <c r="AK165" s="75"/>
      <c r="AL165" s="75"/>
    </row>
    <row r="166" spans="1:38" ht="15.75" hidden="1" thickBot="1" x14ac:dyDescent="0.3">
      <c r="A166" s="75"/>
      <c r="B166" s="75"/>
      <c r="C166" s="35">
        <f>INDEX(Données!$F$2:$L$54,MATCH(F166,Données!$F$2:$F$54,0),2)</f>
        <v>44011</v>
      </c>
      <c r="D166" s="29" t="str">
        <f t="shared" si="4"/>
        <v>#4</v>
      </c>
      <c r="E166" s="7">
        <f>Données!I28</f>
        <v>44013</v>
      </c>
      <c r="F166" s="6" t="str">
        <f>INDEX(Données!$F$2:$L$54,MATCH('#4'!E166,Données!$G$2:$G$54,1),1)</f>
        <v>27</v>
      </c>
      <c r="G166" s="18" t="str">
        <f t="shared" si="5"/>
        <v>PS-4</v>
      </c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1"/>
      <c r="W166" s="75"/>
      <c r="X166" s="75"/>
      <c r="Y166" s="75"/>
      <c r="Z166" s="96">
        <f>SUM(Tableau15[[#This Row],[A-1]:[G-5]])</f>
        <v>0</v>
      </c>
      <c r="AA166" s="96" t="str">
        <f>IF(AND(Z166&gt;0,Tableau15[[#This Row],[CDS]]=""),"Oui","Non")</f>
        <v>Non</v>
      </c>
      <c r="AB166" s="75"/>
      <c r="AC166" s="75"/>
      <c r="AD166" s="75"/>
      <c r="AE166" s="75"/>
      <c r="AF166" s="75"/>
      <c r="AG166" s="75"/>
      <c r="AH166" s="75"/>
      <c r="AI166" s="75"/>
      <c r="AJ166" s="81"/>
      <c r="AK166" s="75"/>
      <c r="AL166" s="75"/>
    </row>
    <row r="167" spans="1:38" ht="15.75" hidden="1" thickBot="1" x14ac:dyDescent="0.3">
      <c r="A167" s="75"/>
      <c r="B167" s="75"/>
      <c r="C167" s="35">
        <f>INDEX(Données!$F$2:$L$54,MATCH(F167,Données!$F$2:$F$54,0),2)</f>
        <v>44011</v>
      </c>
      <c r="D167" s="29" t="str">
        <f t="shared" si="4"/>
        <v>#4</v>
      </c>
      <c r="E167" s="7">
        <f>Données!J28</f>
        <v>44014</v>
      </c>
      <c r="F167" s="6" t="str">
        <f>INDEX(Données!$F$2:$L$54,MATCH('#4'!E167,Données!$G$2:$G$54,1),1)</f>
        <v>27</v>
      </c>
      <c r="G167" s="18" t="str">
        <f t="shared" si="5"/>
        <v>PS-4</v>
      </c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1"/>
      <c r="W167" s="75"/>
      <c r="X167" s="75"/>
      <c r="Y167" s="75"/>
      <c r="Z167" s="96">
        <f>SUM(Tableau15[[#This Row],[A-1]:[G-5]])</f>
        <v>0</v>
      </c>
      <c r="AA167" s="96" t="str">
        <f>IF(AND(Z167&gt;0,Tableau15[[#This Row],[CDS]]=""),"Oui","Non")</f>
        <v>Non</v>
      </c>
      <c r="AB167" s="75"/>
      <c r="AC167" s="75"/>
      <c r="AD167" s="75"/>
      <c r="AE167" s="75"/>
      <c r="AF167" s="75"/>
      <c r="AG167" s="75"/>
      <c r="AH167" s="75"/>
      <c r="AI167" s="75"/>
      <c r="AJ167" s="81"/>
      <c r="AK167" s="75"/>
      <c r="AL167" s="75"/>
    </row>
    <row r="168" spans="1:38" ht="15.75" hidden="1" thickBot="1" x14ac:dyDescent="0.3">
      <c r="A168" s="75"/>
      <c r="B168" s="75"/>
      <c r="C168" s="35">
        <f>INDEX(Données!$F$2:$L$54,MATCH(F168,Données!$F$2:$F$54,0),2)</f>
        <v>44011</v>
      </c>
      <c r="D168" s="29" t="str">
        <f t="shared" si="4"/>
        <v>#4</v>
      </c>
      <c r="E168" s="7">
        <f>Données!K28</f>
        <v>44015</v>
      </c>
      <c r="F168" s="6" t="str">
        <f>INDEX(Données!$F$2:$L$54,MATCH('#4'!E168,Données!$G$2:$G$54,1),1)</f>
        <v>27</v>
      </c>
      <c r="G168" s="18" t="str">
        <f t="shared" si="5"/>
        <v>PS-4</v>
      </c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1"/>
      <c r="W168" s="75"/>
      <c r="X168" s="75"/>
      <c r="Y168" s="75"/>
      <c r="Z168" s="96">
        <f>SUM(Tableau15[[#This Row],[A-1]:[G-5]])</f>
        <v>0</v>
      </c>
      <c r="AA168" s="96" t="str">
        <f>IF(AND(Z168&gt;0,Tableau15[[#This Row],[CDS]]=""),"Oui","Non")</f>
        <v>Non</v>
      </c>
      <c r="AB168" s="75"/>
      <c r="AC168" s="75"/>
      <c r="AD168" s="75"/>
      <c r="AE168" s="75"/>
      <c r="AF168" s="75"/>
      <c r="AG168" s="75"/>
      <c r="AH168" s="75"/>
      <c r="AI168" s="75"/>
      <c r="AJ168" s="81"/>
      <c r="AK168" s="75"/>
      <c r="AL168" s="75"/>
    </row>
    <row r="169" spans="1:38" ht="15.75" hidden="1" thickBot="1" x14ac:dyDescent="0.3">
      <c r="A169" s="75"/>
      <c r="B169" s="75"/>
      <c r="C169" s="35">
        <f>INDEX(Données!$F$2:$L$54,MATCH(F169,Données!$F$2:$F$54,0),2)</f>
        <v>44011</v>
      </c>
      <c r="D169" s="29" t="str">
        <f t="shared" si="4"/>
        <v>#4</v>
      </c>
      <c r="E169" s="7">
        <f>Données!L28</f>
        <v>44016</v>
      </c>
      <c r="F169" s="6" t="str">
        <f>INDEX(Données!$F$2:$L$54,MATCH('#4'!E169,Données!$G$2:$G$54,1),1)</f>
        <v>27</v>
      </c>
      <c r="G169" s="18" t="str">
        <f t="shared" si="5"/>
        <v>PS-4</v>
      </c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1"/>
      <c r="W169" s="75"/>
      <c r="X169" s="75"/>
      <c r="Y169" s="75"/>
      <c r="Z169" s="96">
        <f>SUM(Tableau15[[#This Row],[A-1]:[G-5]])</f>
        <v>0</v>
      </c>
      <c r="AA169" s="96" t="str">
        <f>IF(AND(Z169&gt;0,Tableau15[[#This Row],[CDS]]=""),"Oui","Non")</f>
        <v>Non</v>
      </c>
      <c r="AB169" s="75"/>
      <c r="AC169" s="75"/>
      <c r="AD169" s="75"/>
      <c r="AE169" s="75"/>
      <c r="AF169" s="75"/>
      <c r="AG169" s="75"/>
      <c r="AH169" s="75"/>
      <c r="AI169" s="75"/>
      <c r="AJ169" s="81"/>
      <c r="AK169" s="75"/>
      <c r="AL169" s="75"/>
    </row>
    <row r="170" spans="1:38" ht="15.75" hidden="1" thickBot="1" x14ac:dyDescent="0.3">
      <c r="A170" s="75"/>
      <c r="B170" s="75"/>
      <c r="C170" s="35">
        <f>INDEX(Données!$F$2:$L$54,MATCH(F170,Données!$F$2:$F$54,0),2)</f>
        <v>44018</v>
      </c>
      <c r="D170" s="29" t="str">
        <f t="shared" si="4"/>
        <v>#4</v>
      </c>
      <c r="E170" s="7">
        <f>Données!G29</f>
        <v>44018</v>
      </c>
      <c r="F170" s="6" t="str">
        <f>INDEX(Données!$F$2:$L$54,MATCH('#4'!E170,Données!$G$2:$G$54,1),1)</f>
        <v>28</v>
      </c>
      <c r="G170" s="18" t="str">
        <f t="shared" si="5"/>
        <v>PS-4</v>
      </c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1"/>
      <c r="W170" s="75"/>
      <c r="X170" s="75"/>
      <c r="Y170" s="75"/>
      <c r="Z170" s="96">
        <f>SUM(Tableau15[[#This Row],[A-1]:[G-5]])</f>
        <v>0</v>
      </c>
      <c r="AA170" s="96" t="str">
        <f>IF(AND(Z170&gt;0,Tableau15[[#This Row],[CDS]]=""),"Oui","Non")</f>
        <v>Non</v>
      </c>
      <c r="AB170" s="75"/>
      <c r="AC170" s="75"/>
      <c r="AD170" s="75"/>
      <c r="AE170" s="75"/>
      <c r="AF170" s="75"/>
      <c r="AG170" s="75"/>
      <c r="AH170" s="75"/>
      <c r="AI170" s="75"/>
      <c r="AJ170" s="81"/>
      <c r="AK170" s="75"/>
      <c r="AL170" s="75"/>
    </row>
    <row r="171" spans="1:38" ht="15.75" hidden="1" thickBot="1" x14ac:dyDescent="0.3">
      <c r="A171" s="75"/>
      <c r="B171" s="75"/>
      <c r="C171" s="35">
        <f>INDEX(Données!$F$2:$L$54,MATCH(F171,Données!$F$2:$F$54,0),2)</f>
        <v>44018</v>
      </c>
      <c r="D171" s="29" t="str">
        <f t="shared" si="4"/>
        <v>#4</v>
      </c>
      <c r="E171" s="7">
        <f>Données!H29</f>
        <v>44019</v>
      </c>
      <c r="F171" s="6" t="str">
        <f>INDEX(Données!$F$2:$L$54,MATCH('#4'!E171,Données!$G$2:$G$54,1),1)</f>
        <v>28</v>
      </c>
      <c r="G171" s="18" t="str">
        <f t="shared" si="5"/>
        <v>PS-4</v>
      </c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1"/>
      <c r="W171" s="75"/>
      <c r="X171" s="75"/>
      <c r="Y171" s="75"/>
      <c r="Z171" s="96">
        <f>SUM(Tableau15[[#This Row],[A-1]:[G-5]])</f>
        <v>0</v>
      </c>
      <c r="AA171" s="96" t="str">
        <f>IF(AND(Z171&gt;0,Tableau15[[#This Row],[CDS]]=""),"Oui","Non")</f>
        <v>Non</v>
      </c>
      <c r="AB171" s="75"/>
      <c r="AC171" s="75"/>
      <c r="AD171" s="75"/>
      <c r="AE171" s="75"/>
      <c r="AF171" s="75"/>
      <c r="AG171" s="75"/>
      <c r="AH171" s="75"/>
      <c r="AI171" s="75"/>
      <c r="AJ171" s="81"/>
      <c r="AK171" s="75"/>
      <c r="AL171" s="75"/>
    </row>
    <row r="172" spans="1:38" ht="15.75" hidden="1" thickBot="1" x14ac:dyDescent="0.3">
      <c r="A172" s="75"/>
      <c r="B172" s="75"/>
      <c r="C172" s="35">
        <f>INDEX(Données!$F$2:$L$54,MATCH(F172,Données!$F$2:$F$54,0),2)</f>
        <v>44018</v>
      </c>
      <c r="D172" s="29" t="str">
        <f t="shared" si="4"/>
        <v>#4</v>
      </c>
      <c r="E172" s="7">
        <f>Données!I29</f>
        <v>44020</v>
      </c>
      <c r="F172" s="6" t="str">
        <f>INDEX(Données!$F$2:$L$54,MATCH('#4'!E172,Données!$G$2:$G$54,1),1)</f>
        <v>28</v>
      </c>
      <c r="G172" s="18" t="str">
        <f t="shared" si="5"/>
        <v>PS-4</v>
      </c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1"/>
      <c r="W172" s="75"/>
      <c r="X172" s="75"/>
      <c r="Y172" s="75"/>
      <c r="Z172" s="96">
        <f>SUM(Tableau15[[#This Row],[A-1]:[G-5]])</f>
        <v>0</v>
      </c>
      <c r="AA172" s="96" t="str">
        <f>IF(AND(Z172&gt;0,Tableau15[[#This Row],[CDS]]=""),"Oui","Non")</f>
        <v>Non</v>
      </c>
      <c r="AB172" s="75"/>
      <c r="AC172" s="75"/>
      <c r="AD172" s="75"/>
      <c r="AE172" s="75"/>
      <c r="AF172" s="75"/>
      <c r="AG172" s="75"/>
      <c r="AH172" s="75"/>
      <c r="AI172" s="75"/>
      <c r="AJ172" s="81"/>
      <c r="AK172" s="75"/>
      <c r="AL172" s="75"/>
    </row>
    <row r="173" spans="1:38" ht="15.75" hidden="1" thickBot="1" x14ac:dyDescent="0.3">
      <c r="A173" s="75"/>
      <c r="B173" s="75"/>
      <c r="C173" s="35">
        <f>INDEX(Données!$F$2:$L$54,MATCH(F173,Données!$F$2:$F$54,0),2)</f>
        <v>44018</v>
      </c>
      <c r="D173" s="29" t="str">
        <f t="shared" si="4"/>
        <v>#4</v>
      </c>
      <c r="E173" s="7">
        <f>Données!J29</f>
        <v>44021</v>
      </c>
      <c r="F173" s="6" t="str">
        <f>INDEX(Données!$F$2:$L$54,MATCH('#4'!E173,Données!$G$2:$G$54,1),1)</f>
        <v>28</v>
      </c>
      <c r="G173" s="18" t="str">
        <f t="shared" si="5"/>
        <v>PS-4</v>
      </c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1"/>
      <c r="W173" s="75"/>
      <c r="X173" s="75"/>
      <c r="Y173" s="75"/>
      <c r="Z173" s="96">
        <f>SUM(Tableau15[[#This Row],[A-1]:[G-5]])</f>
        <v>0</v>
      </c>
      <c r="AA173" s="96" t="str">
        <f>IF(AND(Z173&gt;0,Tableau15[[#This Row],[CDS]]=""),"Oui","Non")</f>
        <v>Non</v>
      </c>
      <c r="AB173" s="75"/>
      <c r="AC173" s="75"/>
      <c r="AD173" s="75"/>
      <c r="AE173" s="75"/>
      <c r="AF173" s="75"/>
      <c r="AG173" s="75"/>
      <c r="AH173" s="75"/>
      <c r="AI173" s="75"/>
      <c r="AJ173" s="81"/>
      <c r="AK173" s="75"/>
      <c r="AL173" s="75"/>
    </row>
    <row r="174" spans="1:38" ht="15.75" hidden="1" thickBot="1" x14ac:dyDescent="0.3">
      <c r="A174" s="75"/>
      <c r="B174" s="75"/>
      <c r="C174" s="35">
        <f>INDEX(Données!$F$2:$L$54,MATCH(F174,Données!$F$2:$F$54,0),2)</f>
        <v>44018</v>
      </c>
      <c r="D174" s="29" t="str">
        <f t="shared" si="4"/>
        <v>#4</v>
      </c>
      <c r="E174" s="7">
        <f>Données!K29</f>
        <v>44022</v>
      </c>
      <c r="F174" s="6" t="str">
        <f>INDEX(Données!$F$2:$L$54,MATCH('#4'!E174,Données!$G$2:$G$54,1),1)</f>
        <v>28</v>
      </c>
      <c r="G174" s="18" t="str">
        <f t="shared" si="5"/>
        <v>PS-4</v>
      </c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1"/>
      <c r="W174" s="75"/>
      <c r="X174" s="75"/>
      <c r="Y174" s="75"/>
      <c r="Z174" s="96">
        <f>SUM(Tableau15[[#This Row],[A-1]:[G-5]])</f>
        <v>0</v>
      </c>
      <c r="AA174" s="96" t="str">
        <f>IF(AND(Z174&gt;0,Tableau15[[#This Row],[CDS]]=""),"Oui","Non")</f>
        <v>Non</v>
      </c>
      <c r="AB174" s="75"/>
      <c r="AC174" s="75"/>
      <c r="AD174" s="75"/>
      <c r="AE174" s="75"/>
      <c r="AF174" s="75"/>
      <c r="AG174" s="75"/>
      <c r="AH174" s="75"/>
      <c r="AI174" s="75"/>
      <c r="AJ174" s="81"/>
      <c r="AK174" s="75"/>
      <c r="AL174" s="75"/>
    </row>
    <row r="175" spans="1:38" ht="15.75" hidden="1" thickBot="1" x14ac:dyDescent="0.3">
      <c r="A175" s="75"/>
      <c r="B175" s="75"/>
      <c r="C175" s="35">
        <f>INDEX(Données!$F$2:$L$54,MATCH(F175,Données!$F$2:$F$54,0),2)</f>
        <v>44018</v>
      </c>
      <c r="D175" s="29" t="str">
        <f t="shared" si="4"/>
        <v>#4</v>
      </c>
      <c r="E175" s="7">
        <f>Données!L29</f>
        <v>44023</v>
      </c>
      <c r="F175" s="6" t="str">
        <f>INDEX(Données!$F$2:$L$54,MATCH('#4'!E175,Données!$G$2:$G$54,1),1)</f>
        <v>28</v>
      </c>
      <c r="G175" s="18" t="str">
        <f t="shared" si="5"/>
        <v>PS-4</v>
      </c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1"/>
      <c r="W175" s="75"/>
      <c r="X175" s="75"/>
      <c r="Y175" s="75"/>
      <c r="Z175" s="96">
        <f>SUM(Tableau15[[#This Row],[A-1]:[G-5]])</f>
        <v>0</v>
      </c>
      <c r="AA175" s="96" t="str">
        <f>IF(AND(Z175&gt;0,Tableau15[[#This Row],[CDS]]=""),"Oui","Non")</f>
        <v>Non</v>
      </c>
      <c r="AB175" s="75"/>
      <c r="AC175" s="75"/>
      <c r="AD175" s="75"/>
      <c r="AE175" s="75"/>
      <c r="AF175" s="75"/>
      <c r="AG175" s="75"/>
      <c r="AH175" s="75"/>
      <c r="AI175" s="75"/>
      <c r="AJ175" s="81"/>
      <c r="AK175" s="75"/>
      <c r="AL175" s="75"/>
    </row>
    <row r="176" spans="1:38" ht="15.75" hidden="1" thickBot="1" x14ac:dyDescent="0.3">
      <c r="A176" s="75"/>
      <c r="B176" s="75"/>
      <c r="C176" s="35">
        <f>INDEX(Données!$F$2:$L$54,MATCH(F176,Données!$F$2:$F$54,0),2)</f>
        <v>44025</v>
      </c>
      <c r="D176" s="29" t="str">
        <f t="shared" si="4"/>
        <v>#4</v>
      </c>
      <c r="E176" s="7">
        <f>Données!G30</f>
        <v>44025</v>
      </c>
      <c r="F176" s="6" t="str">
        <f>INDEX(Données!$F$2:$L$54,MATCH('#4'!E176,Données!$G$2:$G$54,1),1)</f>
        <v>29</v>
      </c>
      <c r="G176" s="18" t="str">
        <f t="shared" si="5"/>
        <v>PS-4</v>
      </c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1"/>
      <c r="W176" s="75"/>
      <c r="X176" s="75"/>
      <c r="Y176" s="75"/>
      <c r="Z176" s="96">
        <f>SUM(Tableau15[[#This Row],[A-1]:[G-5]])</f>
        <v>0</v>
      </c>
      <c r="AA176" s="96" t="str">
        <f>IF(AND(Z176&gt;0,Tableau15[[#This Row],[CDS]]=""),"Oui","Non")</f>
        <v>Non</v>
      </c>
      <c r="AB176" s="75"/>
      <c r="AC176" s="75"/>
      <c r="AD176" s="75"/>
      <c r="AE176" s="75"/>
      <c r="AF176" s="75"/>
      <c r="AG176" s="75"/>
      <c r="AH176" s="75"/>
      <c r="AI176" s="75"/>
      <c r="AJ176" s="81"/>
      <c r="AK176" s="75"/>
      <c r="AL176" s="75"/>
    </row>
    <row r="177" spans="1:38" ht="15.75" hidden="1" thickBot="1" x14ac:dyDescent="0.3">
      <c r="A177" s="75"/>
      <c r="B177" s="75"/>
      <c r="C177" s="35">
        <f>INDEX(Données!$F$2:$L$54,MATCH(F177,Données!$F$2:$F$54,0),2)</f>
        <v>44025</v>
      </c>
      <c r="D177" s="29" t="str">
        <f t="shared" si="4"/>
        <v>#4</v>
      </c>
      <c r="E177" s="7">
        <f>Données!H30</f>
        <v>44026</v>
      </c>
      <c r="F177" s="6" t="str">
        <f>INDEX(Données!$F$2:$L$54,MATCH('#4'!E177,Données!$G$2:$G$54,1),1)</f>
        <v>29</v>
      </c>
      <c r="G177" s="18" t="str">
        <f t="shared" si="5"/>
        <v>PS-4</v>
      </c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1"/>
      <c r="W177" s="75"/>
      <c r="X177" s="75"/>
      <c r="Y177" s="75"/>
      <c r="Z177" s="96">
        <f>SUM(Tableau15[[#This Row],[A-1]:[G-5]])</f>
        <v>0</v>
      </c>
      <c r="AA177" s="96" t="str">
        <f>IF(AND(Z177&gt;0,Tableau15[[#This Row],[CDS]]=""),"Oui","Non")</f>
        <v>Non</v>
      </c>
      <c r="AB177" s="75"/>
      <c r="AC177" s="75"/>
      <c r="AD177" s="75"/>
      <c r="AE177" s="75"/>
      <c r="AF177" s="75"/>
      <c r="AG177" s="75"/>
      <c r="AH177" s="75"/>
      <c r="AI177" s="75"/>
      <c r="AJ177" s="81"/>
      <c r="AK177" s="75"/>
      <c r="AL177" s="75"/>
    </row>
    <row r="178" spans="1:38" ht="15.75" hidden="1" thickBot="1" x14ac:dyDescent="0.3">
      <c r="A178" s="75"/>
      <c r="B178" s="75"/>
      <c r="C178" s="35">
        <f>INDEX(Données!$F$2:$L$54,MATCH(F178,Données!$F$2:$F$54,0),2)</f>
        <v>44025</v>
      </c>
      <c r="D178" s="29" t="str">
        <f t="shared" si="4"/>
        <v>#4</v>
      </c>
      <c r="E178" s="7">
        <f>Données!I30</f>
        <v>44027</v>
      </c>
      <c r="F178" s="6" t="str">
        <f>INDEX(Données!$F$2:$L$54,MATCH('#4'!E178,Données!$G$2:$G$54,1),1)</f>
        <v>29</v>
      </c>
      <c r="G178" s="18" t="str">
        <f t="shared" si="5"/>
        <v>PS-4</v>
      </c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1"/>
      <c r="W178" s="75"/>
      <c r="X178" s="75"/>
      <c r="Y178" s="75"/>
      <c r="Z178" s="96">
        <f>SUM(Tableau15[[#This Row],[A-1]:[G-5]])</f>
        <v>0</v>
      </c>
      <c r="AA178" s="96" t="str">
        <f>IF(AND(Z178&gt;0,Tableau15[[#This Row],[CDS]]=""),"Oui","Non")</f>
        <v>Non</v>
      </c>
      <c r="AB178" s="75"/>
      <c r="AC178" s="75"/>
      <c r="AD178" s="75"/>
      <c r="AE178" s="75"/>
      <c r="AF178" s="75"/>
      <c r="AG178" s="75"/>
      <c r="AH178" s="75"/>
      <c r="AI178" s="75"/>
      <c r="AJ178" s="81"/>
      <c r="AK178" s="75"/>
      <c r="AL178" s="75"/>
    </row>
    <row r="179" spans="1:38" ht="15.75" hidden="1" thickBot="1" x14ac:dyDescent="0.3">
      <c r="A179" s="75"/>
      <c r="B179" s="75"/>
      <c r="C179" s="35">
        <f>INDEX(Données!$F$2:$L$54,MATCH(F179,Données!$F$2:$F$54,0),2)</f>
        <v>44025</v>
      </c>
      <c r="D179" s="29" t="str">
        <f t="shared" si="4"/>
        <v>#4</v>
      </c>
      <c r="E179" s="7">
        <f>Données!J30</f>
        <v>44028</v>
      </c>
      <c r="F179" s="6" t="str">
        <f>INDEX(Données!$F$2:$L$54,MATCH('#4'!E179,Données!$G$2:$G$54,1),1)</f>
        <v>29</v>
      </c>
      <c r="G179" s="18" t="str">
        <f t="shared" si="5"/>
        <v>PS-4</v>
      </c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1"/>
      <c r="W179" s="75"/>
      <c r="X179" s="75"/>
      <c r="Y179" s="75"/>
      <c r="Z179" s="96">
        <f>SUM(Tableau15[[#This Row],[A-1]:[G-5]])</f>
        <v>0</v>
      </c>
      <c r="AA179" s="96" t="str">
        <f>IF(AND(Z179&gt;0,Tableau15[[#This Row],[CDS]]=""),"Oui","Non")</f>
        <v>Non</v>
      </c>
      <c r="AB179" s="75"/>
      <c r="AC179" s="75"/>
      <c r="AD179" s="75"/>
      <c r="AE179" s="75"/>
      <c r="AF179" s="75"/>
      <c r="AG179" s="75"/>
      <c r="AH179" s="75"/>
      <c r="AI179" s="75"/>
      <c r="AJ179" s="81"/>
      <c r="AK179" s="75"/>
      <c r="AL179" s="75"/>
    </row>
    <row r="180" spans="1:38" ht="15.75" hidden="1" thickBot="1" x14ac:dyDescent="0.3">
      <c r="A180" s="75"/>
      <c r="B180" s="75"/>
      <c r="C180" s="35">
        <f>INDEX(Données!$F$2:$L$54,MATCH(F180,Données!$F$2:$F$54,0),2)</f>
        <v>44025</v>
      </c>
      <c r="D180" s="29" t="str">
        <f t="shared" si="4"/>
        <v>#4</v>
      </c>
      <c r="E180" s="7">
        <f>Données!K30</f>
        <v>44029</v>
      </c>
      <c r="F180" s="6" t="str">
        <f>INDEX(Données!$F$2:$L$54,MATCH('#4'!E180,Données!$G$2:$G$54,1),1)</f>
        <v>29</v>
      </c>
      <c r="G180" s="18" t="str">
        <f t="shared" si="5"/>
        <v>PS-4</v>
      </c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1"/>
      <c r="W180" s="75"/>
      <c r="X180" s="75"/>
      <c r="Y180" s="75"/>
      <c r="Z180" s="96">
        <f>SUM(Tableau15[[#This Row],[A-1]:[G-5]])</f>
        <v>0</v>
      </c>
      <c r="AA180" s="96" t="str">
        <f>IF(AND(Z180&gt;0,Tableau15[[#This Row],[CDS]]=""),"Oui","Non")</f>
        <v>Non</v>
      </c>
      <c r="AB180" s="75"/>
      <c r="AC180" s="75"/>
      <c r="AD180" s="75"/>
      <c r="AE180" s="75"/>
      <c r="AF180" s="75"/>
      <c r="AG180" s="75"/>
      <c r="AH180" s="75"/>
      <c r="AI180" s="75"/>
      <c r="AJ180" s="81"/>
      <c r="AK180" s="75"/>
      <c r="AL180" s="75"/>
    </row>
    <row r="181" spans="1:38" ht="15.75" hidden="1" thickBot="1" x14ac:dyDescent="0.3">
      <c r="A181" s="75"/>
      <c r="B181" s="75"/>
      <c r="C181" s="35">
        <f>INDEX(Données!$F$2:$L$54,MATCH(F181,Données!$F$2:$F$54,0),2)</f>
        <v>44025</v>
      </c>
      <c r="D181" s="29" t="str">
        <f t="shared" si="4"/>
        <v>#4</v>
      </c>
      <c r="E181" s="7">
        <f>Données!L30</f>
        <v>44030</v>
      </c>
      <c r="F181" s="6" t="str">
        <f>INDEX(Données!$F$2:$L$54,MATCH('#4'!E181,Données!$G$2:$G$54,1),1)</f>
        <v>29</v>
      </c>
      <c r="G181" s="18" t="str">
        <f t="shared" si="5"/>
        <v>PS-4</v>
      </c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1"/>
      <c r="W181" s="75"/>
      <c r="X181" s="75"/>
      <c r="Y181" s="75"/>
      <c r="Z181" s="96">
        <f>SUM(Tableau15[[#This Row],[A-1]:[G-5]])</f>
        <v>0</v>
      </c>
      <c r="AA181" s="96" t="str">
        <f>IF(AND(Z181&gt;0,Tableau15[[#This Row],[CDS]]=""),"Oui","Non")</f>
        <v>Non</v>
      </c>
      <c r="AB181" s="75"/>
      <c r="AC181" s="75"/>
      <c r="AD181" s="75"/>
      <c r="AE181" s="75"/>
      <c r="AF181" s="75"/>
      <c r="AG181" s="75"/>
      <c r="AH181" s="75"/>
      <c r="AI181" s="75"/>
      <c r="AJ181" s="81"/>
      <c r="AK181" s="75"/>
      <c r="AL181" s="75"/>
    </row>
    <row r="182" spans="1:38" ht="15.75" hidden="1" thickBot="1" x14ac:dyDescent="0.3">
      <c r="A182" s="75"/>
      <c r="B182" s="75"/>
      <c r="C182" s="35">
        <f>INDEX(Données!$F$2:$L$54,MATCH(F182,Données!$F$2:$F$54,0),2)</f>
        <v>44032</v>
      </c>
      <c r="D182" s="29" t="str">
        <f t="shared" si="4"/>
        <v>#4</v>
      </c>
      <c r="E182" s="7">
        <f>Données!G31</f>
        <v>44032</v>
      </c>
      <c r="F182" s="6" t="str">
        <f>INDEX(Données!$F$2:$L$54,MATCH('#4'!E182,Données!$G$2:$G$54,1),1)</f>
        <v>30</v>
      </c>
      <c r="G182" s="18" t="str">
        <f t="shared" si="5"/>
        <v>PS-4</v>
      </c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1"/>
      <c r="W182" s="75"/>
      <c r="X182" s="75"/>
      <c r="Y182" s="75"/>
      <c r="Z182" s="96">
        <f>SUM(Tableau15[[#This Row],[A-1]:[G-5]])</f>
        <v>0</v>
      </c>
      <c r="AA182" s="96" t="str">
        <f>IF(AND(Z182&gt;0,Tableau15[[#This Row],[CDS]]=""),"Oui","Non")</f>
        <v>Non</v>
      </c>
      <c r="AB182" s="75"/>
      <c r="AC182" s="75"/>
      <c r="AD182" s="75"/>
      <c r="AE182" s="75"/>
      <c r="AF182" s="75"/>
      <c r="AG182" s="75"/>
      <c r="AH182" s="75"/>
      <c r="AI182" s="75"/>
      <c r="AJ182" s="81"/>
      <c r="AK182" s="75"/>
      <c r="AL182" s="75"/>
    </row>
    <row r="183" spans="1:38" ht="15.75" hidden="1" thickBot="1" x14ac:dyDescent="0.3">
      <c r="A183" s="75"/>
      <c r="B183" s="75"/>
      <c r="C183" s="35">
        <f>INDEX(Données!$F$2:$L$54,MATCH(F183,Données!$F$2:$F$54,0),2)</f>
        <v>44032</v>
      </c>
      <c r="D183" s="29" t="str">
        <f t="shared" si="4"/>
        <v>#4</v>
      </c>
      <c r="E183" s="7">
        <f>Données!H31</f>
        <v>44033</v>
      </c>
      <c r="F183" s="6" t="str">
        <f>INDEX(Données!$F$2:$L$54,MATCH('#4'!E183,Données!$G$2:$G$54,1),1)</f>
        <v>30</v>
      </c>
      <c r="G183" s="18" t="str">
        <f t="shared" si="5"/>
        <v>PS-4</v>
      </c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1"/>
      <c r="W183" s="75"/>
      <c r="X183" s="75"/>
      <c r="Y183" s="75"/>
      <c r="Z183" s="96">
        <f>SUM(Tableau15[[#This Row],[A-1]:[G-5]])</f>
        <v>0</v>
      </c>
      <c r="AA183" s="96" t="str">
        <f>IF(AND(Z183&gt;0,Tableau15[[#This Row],[CDS]]=""),"Oui","Non")</f>
        <v>Non</v>
      </c>
      <c r="AB183" s="75"/>
      <c r="AC183" s="75"/>
      <c r="AD183" s="75"/>
      <c r="AE183" s="75"/>
      <c r="AF183" s="75"/>
      <c r="AG183" s="75"/>
      <c r="AH183" s="75"/>
      <c r="AI183" s="75"/>
      <c r="AJ183" s="81"/>
      <c r="AK183" s="75"/>
      <c r="AL183" s="75"/>
    </row>
    <row r="184" spans="1:38" ht="15.75" hidden="1" thickBot="1" x14ac:dyDescent="0.3">
      <c r="A184" s="75"/>
      <c r="B184" s="75"/>
      <c r="C184" s="35">
        <f>INDEX(Données!$F$2:$L$54,MATCH(F184,Données!$F$2:$F$54,0),2)</f>
        <v>44032</v>
      </c>
      <c r="D184" s="29" t="str">
        <f t="shared" si="4"/>
        <v>#4</v>
      </c>
      <c r="E184" s="7">
        <f>Données!I31</f>
        <v>44034</v>
      </c>
      <c r="F184" s="6" t="str">
        <f>INDEX(Données!$F$2:$L$54,MATCH('#4'!E184,Données!$G$2:$G$54,1),1)</f>
        <v>30</v>
      </c>
      <c r="G184" s="18" t="str">
        <f t="shared" si="5"/>
        <v>PS-4</v>
      </c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1"/>
      <c r="W184" s="75"/>
      <c r="X184" s="75"/>
      <c r="Y184" s="75"/>
      <c r="Z184" s="96">
        <f>SUM(Tableau15[[#This Row],[A-1]:[G-5]])</f>
        <v>0</v>
      </c>
      <c r="AA184" s="96" t="str">
        <f>IF(AND(Z184&gt;0,Tableau15[[#This Row],[CDS]]=""),"Oui","Non")</f>
        <v>Non</v>
      </c>
      <c r="AB184" s="75"/>
      <c r="AC184" s="75"/>
      <c r="AD184" s="75"/>
      <c r="AE184" s="75"/>
      <c r="AF184" s="75"/>
      <c r="AG184" s="75"/>
      <c r="AH184" s="75"/>
      <c r="AI184" s="75"/>
      <c r="AJ184" s="81"/>
      <c r="AK184" s="75"/>
      <c r="AL184" s="75"/>
    </row>
    <row r="185" spans="1:38" ht="15.75" hidden="1" thickBot="1" x14ac:dyDescent="0.3">
      <c r="A185" s="75"/>
      <c r="B185" s="75"/>
      <c r="C185" s="35">
        <f>INDEX(Données!$F$2:$L$54,MATCH(F185,Données!$F$2:$F$54,0),2)</f>
        <v>44032</v>
      </c>
      <c r="D185" s="29" t="str">
        <f t="shared" si="4"/>
        <v>#4</v>
      </c>
      <c r="E185" s="7">
        <f>Données!J31</f>
        <v>44035</v>
      </c>
      <c r="F185" s="6" t="str">
        <f>INDEX(Données!$F$2:$L$54,MATCH('#4'!E185,Données!$G$2:$G$54,1),1)</f>
        <v>30</v>
      </c>
      <c r="G185" s="18" t="str">
        <f t="shared" si="5"/>
        <v>PS-4</v>
      </c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1"/>
      <c r="W185" s="75"/>
      <c r="X185" s="75"/>
      <c r="Y185" s="75"/>
      <c r="Z185" s="96">
        <f>SUM(Tableau15[[#This Row],[A-1]:[G-5]])</f>
        <v>0</v>
      </c>
      <c r="AA185" s="96" t="str">
        <f>IF(AND(Z185&gt;0,Tableau15[[#This Row],[CDS]]=""),"Oui","Non")</f>
        <v>Non</v>
      </c>
      <c r="AB185" s="75"/>
      <c r="AC185" s="75"/>
      <c r="AD185" s="75"/>
      <c r="AE185" s="75"/>
      <c r="AF185" s="75"/>
      <c r="AG185" s="75"/>
      <c r="AH185" s="75"/>
      <c r="AI185" s="75"/>
      <c r="AJ185" s="81"/>
      <c r="AK185" s="75"/>
      <c r="AL185" s="75"/>
    </row>
    <row r="186" spans="1:38" ht="15.75" hidden="1" thickBot="1" x14ac:dyDescent="0.3">
      <c r="A186" s="75"/>
      <c r="B186" s="75"/>
      <c r="C186" s="35">
        <f>INDEX(Données!$F$2:$L$54,MATCH(F186,Données!$F$2:$F$54,0),2)</f>
        <v>44032</v>
      </c>
      <c r="D186" s="29" t="str">
        <f t="shared" si="4"/>
        <v>#4</v>
      </c>
      <c r="E186" s="7">
        <f>Données!K31</f>
        <v>44036</v>
      </c>
      <c r="F186" s="6" t="str">
        <f>INDEX(Données!$F$2:$L$54,MATCH('#4'!E186,Données!$G$2:$G$54,1),1)</f>
        <v>30</v>
      </c>
      <c r="G186" s="18" t="str">
        <f t="shared" si="5"/>
        <v>PS-4</v>
      </c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1"/>
      <c r="W186" s="75"/>
      <c r="X186" s="75"/>
      <c r="Y186" s="75"/>
      <c r="Z186" s="96">
        <f>SUM(Tableau15[[#This Row],[A-1]:[G-5]])</f>
        <v>0</v>
      </c>
      <c r="AA186" s="96" t="str">
        <f>IF(AND(Z186&gt;0,Tableau15[[#This Row],[CDS]]=""),"Oui","Non")</f>
        <v>Non</v>
      </c>
      <c r="AB186" s="75"/>
      <c r="AC186" s="75"/>
      <c r="AD186" s="75"/>
      <c r="AE186" s="75"/>
      <c r="AF186" s="75"/>
      <c r="AG186" s="75"/>
      <c r="AH186" s="75"/>
      <c r="AI186" s="75"/>
      <c r="AJ186" s="81"/>
      <c r="AK186" s="75"/>
      <c r="AL186" s="75"/>
    </row>
    <row r="187" spans="1:38" ht="15.75" hidden="1" thickBot="1" x14ac:dyDescent="0.3">
      <c r="A187" s="75"/>
      <c r="B187" s="75"/>
      <c r="C187" s="35">
        <f>INDEX(Données!$F$2:$L$54,MATCH(F187,Données!$F$2:$F$54,0),2)</f>
        <v>44032</v>
      </c>
      <c r="D187" s="29" t="str">
        <f t="shared" si="4"/>
        <v>#4</v>
      </c>
      <c r="E187" s="7">
        <f>Données!L31</f>
        <v>44037</v>
      </c>
      <c r="F187" s="6" t="str">
        <f>INDEX(Données!$F$2:$L$54,MATCH('#4'!E187,Données!$G$2:$G$54,1),1)</f>
        <v>30</v>
      </c>
      <c r="G187" s="18" t="str">
        <f t="shared" si="5"/>
        <v>PS-4</v>
      </c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1"/>
      <c r="W187" s="75"/>
      <c r="X187" s="75"/>
      <c r="Y187" s="75"/>
      <c r="Z187" s="96">
        <f>SUM(Tableau15[[#This Row],[A-1]:[G-5]])</f>
        <v>0</v>
      </c>
      <c r="AA187" s="96" t="str">
        <f>IF(AND(Z187&gt;0,Tableau15[[#This Row],[CDS]]=""),"Oui","Non")</f>
        <v>Non</v>
      </c>
      <c r="AB187" s="75"/>
      <c r="AC187" s="75"/>
      <c r="AD187" s="75"/>
      <c r="AE187" s="75"/>
      <c r="AF187" s="75"/>
      <c r="AG187" s="75"/>
      <c r="AH187" s="75"/>
      <c r="AI187" s="75"/>
      <c r="AJ187" s="81"/>
      <c r="AK187" s="75"/>
      <c r="AL187" s="75"/>
    </row>
    <row r="188" spans="1:38" ht="15.75" hidden="1" thickBot="1" x14ac:dyDescent="0.3">
      <c r="A188" s="75"/>
      <c r="B188" s="75"/>
      <c r="C188" s="35">
        <f>INDEX(Données!$F$2:$L$54,MATCH(F188,Données!$F$2:$F$54,0),2)</f>
        <v>44039</v>
      </c>
      <c r="D188" s="29" t="str">
        <f t="shared" si="4"/>
        <v>#4</v>
      </c>
      <c r="E188" s="7">
        <f>Données!G32</f>
        <v>44039</v>
      </c>
      <c r="F188" s="6" t="str">
        <f>INDEX(Données!$F$2:$L$54,MATCH('#4'!E188,Données!$G$2:$G$54,1),1)</f>
        <v>31</v>
      </c>
      <c r="G188" s="18" t="str">
        <f t="shared" si="5"/>
        <v>PS-4</v>
      </c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1"/>
      <c r="W188" s="75"/>
      <c r="X188" s="75"/>
      <c r="Y188" s="75"/>
      <c r="Z188" s="96">
        <f>SUM(Tableau15[[#This Row],[A-1]:[G-5]])</f>
        <v>0</v>
      </c>
      <c r="AA188" s="96" t="str">
        <f>IF(AND(Z188&gt;0,Tableau15[[#This Row],[CDS]]=""),"Oui","Non")</f>
        <v>Non</v>
      </c>
      <c r="AB188" s="75"/>
      <c r="AC188" s="75"/>
      <c r="AD188" s="75"/>
      <c r="AE188" s="75"/>
      <c r="AF188" s="75"/>
      <c r="AG188" s="75"/>
      <c r="AH188" s="75"/>
      <c r="AI188" s="75"/>
      <c r="AJ188" s="81"/>
      <c r="AK188" s="75"/>
      <c r="AL188" s="75"/>
    </row>
    <row r="189" spans="1:38" ht="15.75" hidden="1" thickBot="1" x14ac:dyDescent="0.3">
      <c r="A189" s="75"/>
      <c r="B189" s="75"/>
      <c r="C189" s="35">
        <f>INDEX(Données!$F$2:$L$54,MATCH(F189,Données!$F$2:$F$54,0),2)</f>
        <v>44039</v>
      </c>
      <c r="D189" s="29" t="str">
        <f t="shared" si="4"/>
        <v>#4</v>
      </c>
      <c r="E189" s="7">
        <f>Données!H32</f>
        <v>44040</v>
      </c>
      <c r="F189" s="6" t="str">
        <f>INDEX(Données!$F$2:$L$54,MATCH('#4'!E189,Données!$G$2:$G$54,1),1)</f>
        <v>31</v>
      </c>
      <c r="G189" s="18" t="str">
        <f t="shared" si="5"/>
        <v>PS-4</v>
      </c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1"/>
      <c r="W189" s="75"/>
      <c r="X189" s="75"/>
      <c r="Y189" s="75"/>
      <c r="Z189" s="96">
        <f>SUM(Tableau15[[#This Row],[A-1]:[G-5]])</f>
        <v>0</v>
      </c>
      <c r="AA189" s="96" t="str">
        <f>IF(AND(Z189&gt;0,Tableau15[[#This Row],[CDS]]=""),"Oui","Non")</f>
        <v>Non</v>
      </c>
      <c r="AB189" s="75"/>
      <c r="AC189" s="75"/>
      <c r="AD189" s="75"/>
      <c r="AE189" s="75"/>
      <c r="AF189" s="75"/>
      <c r="AG189" s="75"/>
      <c r="AH189" s="75"/>
      <c r="AI189" s="75"/>
      <c r="AJ189" s="81"/>
      <c r="AK189" s="75"/>
      <c r="AL189" s="75"/>
    </row>
    <row r="190" spans="1:38" ht="15.75" hidden="1" thickBot="1" x14ac:dyDescent="0.3">
      <c r="A190" s="75"/>
      <c r="B190" s="75"/>
      <c r="C190" s="35">
        <f>INDEX(Données!$F$2:$L$54,MATCH(F190,Données!$F$2:$F$54,0),2)</f>
        <v>44039</v>
      </c>
      <c r="D190" s="29" t="str">
        <f t="shared" si="4"/>
        <v>#4</v>
      </c>
      <c r="E190" s="7">
        <f>Données!I32</f>
        <v>44041</v>
      </c>
      <c r="F190" s="6" t="str">
        <f>INDEX(Données!$F$2:$L$54,MATCH('#4'!E190,Données!$G$2:$G$54,1),1)</f>
        <v>31</v>
      </c>
      <c r="G190" s="18" t="str">
        <f t="shared" si="5"/>
        <v>PS-4</v>
      </c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1"/>
      <c r="W190" s="75"/>
      <c r="X190" s="75"/>
      <c r="Y190" s="75"/>
      <c r="Z190" s="96">
        <f>SUM(Tableau15[[#This Row],[A-1]:[G-5]])</f>
        <v>0</v>
      </c>
      <c r="AA190" s="96" t="str">
        <f>IF(AND(Z190&gt;0,Tableau15[[#This Row],[CDS]]=""),"Oui","Non")</f>
        <v>Non</v>
      </c>
      <c r="AB190" s="75"/>
      <c r="AC190" s="75"/>
      <c r="AD190" s="75"/>
      <c r="AE190" s="75"/>
      <c r="AF190" s="75"/>
      <c r="AG190" s="75"/>
      <c r="AH190" s="75"/>
      <c r="AI190" s="75"/>
      <c r="AJ190" s="81"/>
      <c r="AK190" s="75"/>
      <c r="AL190" s="75"/>
    </row>
    <row r="191" spans="1:38" ht="15.75" hidden="1" thickBot="1" x14ac:dyDescent="0.3">
      <c r="A191" s="75"/>
      <c r="B191" s="75"/>
      <c r="C191" s="35">
        <f>INDEX(Données!$F$2:$L$54,MATCH(F191,Données!$F$2:$F$54,0),2)</f>
        <v>44039</v>
      </c>
      <c r="D191" s="29" t="str">
        <f t="shared" si="4"/>
        <v>#4</v>
      </c>
      <c r="E191" s="7">
        <f>Données!J32</f>
        <v>44042</v>
      </c>
      <c r="F191" s="6" t="str">
        <f>INDEX(Données!$F$2:$L$54,MATCH('#4'!E191,Données!$G$2:$G$54,1),1)</f>
        <v>31</v>
      </c>
      <c r="G191" s="18" t="str">
        <f t="shared" si="5"/>
        <v>PS-4</v>
      </c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1"/>
      <c r="W191" s="75"/>
      <c r="X191" s="75"/>
      <c r="Y191" s="75"/>
      <c r="Z191" s="96">
        <f>SUM(Tableau15[[#This Row],[A-1]:[G-5]])</f>
        <v>0</v>
      </c>
      <c r="AA191" s="96" t="str">
        <f>IF(AND(Z191&gt;0,Tableau15[[#This Row],[CDS]]=""),"Oui","Non")</f>
        <v>Non</v>
      </c>
      <c r="AB191" s="75"/>
      <c r="AC191" s="75"/>
      <c r="AD191" s="75"/>
      <c r="AE191" s="75"/>
      <c r="AF191" s="75"/>
      <c r="AG191" s="75"/>
      <c r="AH191" s="75"/>
      <c r="AI191" s="75"/>
      <c r="AJ191" s="81"/>
      <c r="AK191" s="75"/>
      <c r="AL191" s="75"/>
    </row>
    <row r="192" spans="1:38" ht="15.75" hidden="1" thickBot="1" x14ac:dyDescent="0.3">
      <c r="A192" s="75"/>
      <c r="B192" s="75"/>
      <c r="C192" s="35">
        <f>INDEX(Données!$F$2:$L$54,MATCH(F192,Données!$F$2:$F$54,0),2)</f>
        <v>44039</v>
      </c>
      <c r="D192" s="29" t="str">
        <f t="shared" si="4"/>
        <v>#4</v>
      </c>
      <c r="E192" s="7">
        <f>Données!K32</f>
        <v>44043</v>
      </c>
      <c r="F192" s="6" t="str">
        <f>INDEX(Données!$F$2:$L$54,MATCH('#4'!E192,Données!$G$2:$G$54,1),1)</f>
        <v>31</v>
      </c>
      <c r="G192" s="18" t="str">
        <f t="shared" si="5"/>
        <v>PS-4</v>
      </c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1"/>
      <c r="W192" s="75"/>
      <c r="X192" s="75"/>
      <c r="Y192" s="75"/>
      <c r="Z192" s="96">
        <f>SUM(Tableau15[[#This Row],[A-1]:[G-5]])</f>
        <v>0</v>
      </c>
      <c r="AA192" s="96" t="str">
        <f>IF(AND(Z192&gt;0,Tableau15[[#This Row],[CDS]]=""),"Oui","Non")</f>
        <v>Non</v>
      </c>
      <c r="AB192" s="75"/>
      <c r="AC192" s="75"/>
      <c r="AD192" s="75"/>
      <c r="AE192" s="75"/>
      <c r="AF192" s="75"/>
      <c r="AG192" s="75"/>
      <c r="AH192" s="75"/>
      <c r="AI192" s="75"/>
      <c r="AJ192" s="81"/>
      <c r="AK192" s="75"/>
      <c r="AL192" s="75"/>
    </row>
    <row r="193" spans="1:38" ht="15.75" hidden="1" thickBot="1" x14ac:dyDescent="0.3">
      <c r="A193" s="75"/>
      <c r="B193" s="75"/>
      <c r="C193" s="35">
        <f>INDEX(Données!$F$2:$L$54,MATCH(F193,Données!$F$2:$F$54,0),2)</f>
        <v>44039</v>
      </c>
      <c r="D193" s="29" t="str">
        <f t="shared" si="4"/>
        <v>#4</v>
      </c>
      <c r="E193" s="7">
        <f>Données!L32</f>
        <v>44044</v>
      </c>
      <c r="F193" s="6" t="str">
        <f>INDEX(Données!$F$2:$L$54,MATCH('#4'!E193,Données!$G$2:$G$54,1),1)</f>
        <v>31</v>
      </c>
      <c r="G193" s="18" t="str">
        <f t="shared" si="5"/>
        <v>PS-4</v>
      </c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1"/>
      <c r="W193" s="75"/>
      <c r="X193" s="75"/>
      <c r="Y193" s="75"/>
      <c r="Z193" s="96">
        <f>SUM(Tableau15[[#This Row],[A-1]:[G-5]])</f>
        <v>0</v>
      </c>
      <c r="AA193" s="96" t="str">
        <f>IF(AND(Z193&gt;0,Tableau15[[#This Row],[CDS]]=""),"Oui","Non")</f>
        <v>Non</v>
      </c>
      <c r="AB193" s="75"/>
      <c r="AC193" s="75"/>
      <c r="AD193" s="75"/>
      <c r="AE193" s="75"/>
      <c r="AF193" s="75"/>
      <c r="AG193" s="75"/>
      <c r="AH193" s="75"/>
      <c r="AI193" s="75"/>
      <c r="AJ193" s="81"/>
      <c r="AK193" s="75"/>
      <c r="AL193" s="75"/>
    </row>
    <row r="194" spans="1:38" ht="15.75" hidden="1" thickBot="1" x14ac:dyDescent="0.3">
      <c r="A194" s="75"/>
      <c r="B194" s="75"/>
      <c r="C194" s="35">
        <f>INDEX(Données!$F$2:$L$54,MATCH(F194,Données!$F$2:$F$54,0),2)</f>
        <v>44046</v>
      </c>
      <c r="D194" s="29" t="str">
        <f t="shared" si="4"/>
        <v>#4</v>
      </c>
      <c r="E194" s="7">
        <f>Données!G33</f>
        <v>44046</v>
      </c>
      <c r="F194" s="6" t="str">
        <f>INDEX(Données!$F$2:$L$54,MATCH('#4'!E194,Données!$G$2:$G$54,1),1)</f>
        <v>32</v>
      </c>
      <c r="G194" s="18" t="str">
        <f t="shared" si="5"/>
        <v>PS-4</v>
      </c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1"/>
      <c r="W194" s="75"/>
      <c r="X194" s="75"/>
      <c r="Y194" s="75"/>
      <c r="Z194" s="96">
        <f>SUM(Tableau15[[#This Row],[A-1]:[G-5]])</f>
        <v>0</v>
      </c>
      <c r="AA194" s="96" t="str">
        <f>IF(AND(Z194&gt;0,Tableau15[[#This Row],[CDS]]=""),"Oui","Non")</f>
        <v>Non</v>
      </c>
      <c r="AB194" s="75"/>
      <c r="AC194" s="75"/>
      <c r="AD194" s="75"/>
      <c r="AE194" s="75"/>
      <c r="AF194" s="75"/>
      <c r="AG194" s="75"/>
      <c r="AH194" s="75"/>
      <c r="AI194" s="75"/>
      <c r="AJ194" s="81"/>
      <c r="AK194" s="75"/>
      <c r="AL194" s="75"/>
    </row>
    <row r="195" spans="1:38" ht="15.75" hidden="1" thickBot="1" x14ac:dyDescent="0.3">
      <c r="A195" s="75"/>
      <c r="B195" s="75"/>
      <c r="C195" s="35">
        <f>INDEX(Données!$F$2:$L$54,MATCH(F195,Données!$F$2:$F$54,0),2)</f>
        <v>44046</v>
      </c>
      <c r="D195" s="29" t="str">
        <f t="shared" si="4"/>
        <v>#4</v>
      </c>
      <c r="E195" s="7">
        <f>Données!H33</f>
        <v>44047</v>
      </c>
      <c r="F195" s="6" t="str">
        <f>INDEX(Données!$F$2:$L$54,MATCH('#4'!E195,Données!$G$2:$G$54,1),1)</f>
        <v>32</v>
      </c>
      <c r="G195" s="18" t="str">
        <f t="shared" si="5"/>
        <v>PS-4</v>
      </c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1"/>
      <c r="W195" s="75"/>
      <c r="X195" s="75"/>
      <c r="Y195" s="75"/>
      <c r="Z195" s="96">
        <f>SUM(Tableau15[[#This Row],[A-1]:[G-5]])</f>
        <v>0</v>
      </c>
      <c r="AA195" s="96" t="str">
        <f>IF(AND(Z195&gt;0,Tableau15[[#This Row],[CDS]]=""),"Oui","Non")</f>
        <v>Non</v>
      </c>
      <c r="AB195" s="75"/>
      <c r="AC195" s="75"/>
      <c r="AD195" s="75"/>
      <c r="AE195" s="75"/>
      <c r="AF195" s="75"/>
      <c r="AG195" s="75"/>
      <c r="AH195" s="75"/>
      <c r="AI195" s="75"/>
      <c r="AJ195" s="81"/>
      <c r="AK195" s="75"/>
      <c r="AL195" s="75"/>
    </row>
    <row r="196" spans="1:38" ht="15.75" hidden="1" thickBot="1" x14ac:dyDescent="0.3">
      <c r="A196" s="75"/>
      <c r="B196" s="75"/>
      <c r="C196" s="35">
        <f>INDEX(Données!$F$2:$L$54,MATCH(F196,Données!$F$2:$F$54,0),2)</f>
        <v>44046</v>
      </c>
      <c r="D196" s="29" t="str">
        <f t="shared" si="4"/>
        <v>#4</v>
      </c>
      <c r="E196" s="7">
        <f>Données!I33</f>
        <v>44048</v>
      </c>
      <c r="F196" s="6" t="str">
        <f>INDEX(Données!$F$2:$L$54,MATCH('#4'!E196,Données!$G$2:$G$54,1),1)</f>
        <v>32</v>
      </c>
      <c r="G196" s="18" t="str">
        <f t="shared" si="5"/>
        <v>PS-4</v>
      </c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1"/>
      <c r="W196" s="75"/>
      <c r="X196" s="75"/>
      <c r="Y196" s="75"/>
      <c r="Z196" s="96">
        <f>SUM(Tableau15[[#This Row],[A-1]:[G-5]])</f>
        <v>0</v>
      </c>
      <c r="AA196" s="96" t="str">
        <f>IF(AND(Z196&gt;0,Tableau15[[#This Row],[CDS]]=""),"Oui","Non")</f>
        <v>Non</v>
      </c>
      <c r="AB196" s="75"/>
      <c r="AC196" s="75"/>
      <c r="AD196" s="75"/>
      <c r="AE196" s="75"/>
      <c r="AF196" s="75"/>
      <c r="AG196" s="75"/>
      <c r="AH196" s="75"/>
      <c r="AI196" s="75"/>
      <c r="AJ196" s="81"/>
      <c r="AK196" s="75"/>
      <c r="AL196" s="75"/>
    </row>
    <row r="197" spans="1:38" ht="15.75" hidden="1" thickBot="1" x14ac:dyDescent="0.3">
      <c r="A197" s="75"/>
      <c r="B197" s="75"/>
      <c r="C197" s="35">
        <f>INDEX(Données!$F$2:$L$54,MATCH(F197,Données!$F$2:$F$54,0),2)</f>
        <v>44046</v>
      </c>
      <c r="D197" s="29" t="str">
        <f t="shared" si="4"/>
        <v>#4</v>
      </c>
      <c r="E197" s="7">
        <f>Données!J33</f>
        <v>44049</v>
      </c>
      <c r="F197" s="6" t="str">
        <f>INDEX(Données!$F$2:$L$54,MATCH('#4'!E197,Données!$G$2:$G$54,1),1)</f>
        <v>32</v>
      </c>
      <c r="G197" s="18" t="str">
        <f t="shared" si="5"/>
        <v>PS-4</v>
      </c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1"/>
      <c r="W197" s="75"/>
      <c r="X197" s="75"/>
      <c r="Y197" s="75"/>
      <c r="Z197" s="96">
        <f>SUM(Tableau15[[#This Row],[A-1]:[G-5]])</f>
        <v>0</v>
      </c>
      <c r="AA197" s="96" t="str">
        <f>IF(AND(Z197&gt;0,Tableau15[[#This Row],[CDS]]=""),"Oui","Non")</f>
        <v>Non</v>
      </c>
      <c r="AB197" s="75"/>
      <c r="AC197" s="75"/>
      <c r="AD197" s="75"/>
      <c r="AE197" s="75"/>
      <c r="AF197" s="75"/>
      <c r="AG197" s="75"/>
      <c r="AH197" s="75"/>
      <c r="AI197" s="75"/>
      <c r="AJ197" s="81"/>
      <c r="AK197" s="75"/>
      <c r="AL197" s="75"/>
    </row>
    <row r="198" spans="1:38" ht="15.75" hidden="1" thickBot="1" x14ac:dyDescent="0.3">
      <c r="A198" s="75"/>
      <c r="B198" s="75"/>
      <c r="C198" s="35">
        <f>INDEX(Données!$F$2:$L$54,MATCH(F198,Données!$F$2:$F$54,0),2)</f>
        <v>44046</v>
      </c>
      <c r="D198" s="29" t="str">
        <f t="shared" si="4"/>
        <v>#4</v>
      </c>
      <c r="E198" s="7">
        <f>Données!K33</f>
        <v>44050</v>
      </c>
      <c r="F198" s="6" t="str">
        <f>INDEX(Données!$F$2:$L$54,MATCH('#4'!E198,Données!$G$2:$G$54,1),1)</f>
        <v>32</v>
      </c>
      <c r="G198" s="18" t="str">
        <f t="shared" si="5"/>
        <v>PS-4</v>
      </c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1"/>
      <c r="W198" s="75"/>
      <c r="X198" s="75"/>
      <c r="Y198" s="75"/>
      <c r="Z198" s="96">
        <f>SUM(Tableau15[[#This Row],[A-1]:[G-5]])</f>
        <v>0</v>
      </c>
      <c r="AA198" s="96" t="str">
        <f>IF(AND(Z198&gt;0,Tableau15[[#This Row],[CDS]]=""),"Oui","Non")</f>
        <v>Non</v>
      </c>
      <c r="AB198" s="75"/>
      <c r="AC198" s="75"/>
      <c r="AD198" s="75"/>
      <c r="AE198" s="75"/>
      <c r="AF198" s="75"/>
      <c r="AG198" s="75"/>
      <c r="AH198" s="75"/>
      <c r="AI198" s="75"/>
      <c r="AJ198" s="81"/>
      <c r="AK198" s="75"/>
      <c r="AL198" s="75"/>
    </row>
    <row r="199" spans="1:38" ht="15.75" hidden="1" thickBot="1" x14ac:dyDescent="0.3">
      <c r="A199" s="75"/>
      <c r="B199" s="75"/>
      <c r="C199" s="35">
        <f>INDEX(Données!$F$2:$L$54,MATCH(F199,Données!$F$2:$F$54,0),2)</f>
        <v>44046</v>
      </c>
      <c r="D199" s="29" t="str">
        <f t="shared" si="4"/>
        <v>#4</v>
      </c>
      <c r="E199" s="7">
        <f>Données!L33</f>
        <v>44051</v>
      </c>
      <c r="F199" s="6" t="str">
        <f>INDEX(Données!$F$2:$L$54,MATCH('#4'!E199,Données!$G$2:$G$54,1),1)</f>
        <v>32</v>
      </c>
      <c r="G199" s="18" t="str">
        <f t="shared" si="5"/>
        <v>PS-4</v>
      </c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1"/>
      <c r="W199" s="75"/>
      <c r="X199" s="75"/>
      <c r="Y199" s="75"/>
      <c r="Z199" s="96">
        <f>SUM(Tableau15[[#This Row],[A-1]:[G-5]])</f>
        <v>0</v>
      </c>
      <c r="AA199" s="96" t="str">
        <f>IF(AND(Z199&gt;0,Tableau15[[#This Row],[CDS]]=""),"Oui","Non")</f>
        <v>Non</v>
      </c>
      <c r="AB199" s="75"/>
      <c r="AC199" s="75"/>
      <c r="AD199" s="75"/>
      <c r="AE199" s="75"/>
      <c r="AF199" s="75"/>
      <c r="AG199" s="75"/>
      <c r="AH199" s="75"/>
      <c r="AI199" s="75"/>
      <c r="AJ199" s="81"/>
      <c r="AK199" s="75"/>
      <c r="AL199" s="75"/>
    </row>
    <row r="200" spans="1:38" ht="15.75" hidden="1" thickBot="1" x14ac:dyDescent="0.3">
      <c r="A200" s="75"/>
      <c r="B200" s="75"/>
      <c r="C200" s="35">
        <f>INDEX(Données!$F$2:$L$54,MATCH(F200,Données!$F$2:$F$54,0),2)</f>
        <v>44053</v>
      </c>
      <c r="D200" s="29" t="str">
        <f t="shared" ref="D200:D263" si="6">$E$4</f>
        <v>#4</v>
      </c>
      <c r="E200" s="7">
        <f>Données!G34</f>
        <v>44053</v>
      </c>
      <c r="F200" s="6" t="str">
        <f>INDEX(Données!$F$2:$L$54,MATCH('#4'!E200,Données!$G$2:$G$54,1),1)</f>
        <v>33</v>
      </c>
      <c r="G200" s="18" t="str">
        <f t="shared" ref="G200:G263" si="7">IF(AND($V$5=1),"PS-1",IF(AND($V$5=2),"PS-2",IF(AND($V$5=4),"PS-4",IF(AND($V$5=6),"S.O.",IF(AND($V$5=5),"")))))</f>
        <v>PS-4</v>
      </c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1"/>
      <c r="W200" s="75"/>
      <c r="X200" s="75"/>
      <c r="Y200" s="75"/>
      <c r="Z200" s="96">
        <f>SUM(Tableau15[[#This Row],[A-1]:[G-5]])</f>
        <v>0</v>
      </c>
      <c r="AA200" s="96" t="str">
        <f>IF(AND(Z200&gt;0,Tableau15[[#This Row],[CDS]]=""),"Oui","Non")</f>
        <v>Non</v>
      </c>
      <c r="AB200" s="75"/>
      <c r="AC200" s="75"/>
      <c r="AD200" s="75"/>
      <c r="AE200" s="75"/>
      <c r="AF200" s="75"/>
      <c r="AG200" s="75"/>
      <c r="AH200" s="75"/>
      <c r="AI200" s="75"/>
      <c r="AJ200" s="81"/>
      <c r="AK200" s="75"/>
      <c r="AL200" s="75"/>
    </row>
    <row r="201" spans="1:38" ht="15.75" hidden="1" thickBot="1" x14ac:dyDescent="0.3">
      <c r="A201" s="75"/>
      <c r="B201" s="75"/>
      <c r="C201" s="35">
        <f>INDEX(Données!$F$2:$L$54,MATCH(F201,Données!$F$2:$F$54,0),2)</f>
        <v>44053</v>
      </c>
      <c r="D201" s="29" t="str">
        <f t="shared" si="6"/>
        <v>#4</v>
      </c>
      <c r="E201" s="7">
        <f>Données!H34</f>
        <v>44054</v>
      </c>
      <c r="F201" s="6" t="str">
        <f>INDEX(Données!$F$2:$L$54,MATCH('#4'!E201,Données!$G$2:$G$54,1),1)</f>
        <v>33</v>
      </c>
      <c r="G201" s="18" t="str">
        <f t="shared" si="7"/>
        <v>PS-4</v>
      </c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1"/>
      <c r="W201" s="75"/>
      <c r="X201" s="75"/>
      <c r="Y201" s="75"/>
      <c r="Z201" s="96">
        <f>SUM(Tableau15[[#This Row],[A-1]:[G-5]])</f>
        <v>0</v>
      </c>
      <c r="AA201" s="96" t="str">
        <f>IF(AND(Z201&gt;0,Tableau15[[#This Row],[CDS]]=""),"Oui","Non")</f>
        <v>Non</v>
      </c>
      <c r="AB201" s="75"/>
      <c r="AC201" s="75"/>
      <c r="AD201" s="75"/>
      <c r="AE201" s="75"/>
      <c r="AF201" s="75"/>
      <c r="AG201" s="75"/>
      <c r="AH201" s="75"/>
      <c r="AI201" s="75"/>
      <c r="AJ201" s="81"/>
      <c r="AK201" s="75"/>
      <c r="AL201" s="75"/>
    </row>
    <row r="202" spans="1:38" ht="15.75" hidden="1" thickBot="1" x14ac:dyDescent="0.3">
      <c r="A202" s="75"/>
      <c r="B202" s="75"/>
      <c r="C202" s="35">
        <f>INDEX(Données!$F$2:$L$54,MATCH(F202,Données!$F$2:$F$54,0),2)</f>
        <v>44053</v>
      </c>
      <c r="D202" s="29" t="str">
        <f t="shared" si="6"/>
        <v>#4</v>
      </c>
      <c r="E202" s="7">
        <f>Données!I34</f>
        <v>44055</v>
      </c>
      <c r="F202" s="6" t="str">
        <f>INDEX(Données!$F$2:$L$54,MATCH('#4'!E202,Données!$G$2:$G$54,1),1)</f>
        <v>33</v>
      </c>
      <c r="G202" s="18" t="str">
        <f t="shared" si="7"/>
        <v>PS-4</v>
      </c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1"/>
      <c r="W202" s="75"/>
      <c r="X202" s="75"/>
      <c r="Y202" s="75"/>
      <c r="Z202" s="96">
        <f>SUM(Tableau15[[#This Row],[A-1]:[G-5]])</f>
        <v>0</v>
      </c>
      <c r="AA202" s="96" t="str">
        <f>IF(AND(Z202&gt;0,Tableau15[[#This Row],[CDS]]=""),"Oui","Non")</f>
        <v>Non</v>
      </c>
      <c r="AB202" s="75"/>
      <c r="AC202" s="75"/>
      <c r="AD202" s="75"/>
      <c r="AE202" s="75"/>
      <c r="AF202" s="75"/>
      <c r="AG202" s="75"/>
      <c r="AH202" s="75"/>
      <c r="AI202" s="75"/>
      <c r="AJ202" s="81"/>
      <c r="AK202" s="75"/>
      <c r="AL202" s="75"/>
    </row>
    <row r="203" spans="1:38" ht="15.75" hidden="1" thickBot="1" x14ac:dyDescent="0.3">
      <c r="A203" s="75"/>
      <c r="B203" s="75"/>
      <c r="C203" s="35">
        <f>INDEX(Données!$F$2:$L$54,MATCH(F203,Données!$F$2:$F$54,0),2)</f>
        <v>44053</v>
      </c>
      <c r="D203" s="29" t="str">
        <f t="shared" si="6"/>
        <v>#4</v>
      </c>
      <c r="E203" s="7">
        <f>Données!J34</f>
        <v>44056</v>
      </c>
      <c r="F203" s="6" t="str">
        <f>INDEX(Données!$F$2:$L$54,MATCH('#4'!E203,Données!$G$2:$G$54,1),1)</f>
        <v>33</v>
      </c>
      <c r="G203" s="18" t="str">
        <f t="shared" si="7"/>
        <v>PS-4</v>
      </c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1"/>
      <c r="W203" s="75"/>
      <c r="X203" s="75"/>
      <c r="Y203" s="75"/>
      <c r="Z203" s="96">
        <f>SUM(Tableau15[[#This Row],[A-1]:[G-5]])</f>
        <v>0</v>
      </c>
      <c r="AA203" s="96" t="str">
        <f>IF(AND(Z203&gt;0,Tableau15[[#This Row],[CDS]]=""),"Oui","Non")</f>
        <v>Non</v>
      </c>
      <c r="AB203" s="75"/>
      <c r="AC203" s="75"/>
      <c r="AD203" s="75"/>
      <c r="AE203" s="75"/>
      <c r="AF203" s="75"/>
      <c r="AG203" s="75"/>
      <c r="AH203" s="75"/>
      <c r="AI203" s="75"/>
      <c r="AJ203" s="81"/>
      <c r="AK203" s="75"/>
      <c r="AL203" s="75"/>
    </row>
    <row r="204" spans="1:38" ht="15.75" hidden="1" thickBot="1" x14ac:dyDescent="0.3">
      <c r="A204" s="75"/>
      <c r="B204" s="75"/>
      <c r="C204" s="35">
        <f>INDEX(Données!$F$2:$L$54,MATCH(F204,Données!$F$2:$F$54,0),2)</f>
        <v>44053</v>
      </c>
      <c r="D204" s="29" t="str">
        <f t="shared" si="6"/>
        <v>#4</v>
      </c>
      <c r="E204" s="7">
        <f>Données!K34</f>
        <v>44057</v>
      </c>
      <c r="F204" s="6" t="str">
        <f>INDEX(Données!$F$2:$L$54,MATCH('#4'!E204,Données!$G$2:$G$54,1),1)</f>
        <v>33</v>
      </c>
      <c r="G204" s="18" t="str">
        <f t="shared" si="7"/>
        <v>PS-4</v>
      </c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1"/>
      <c r="W204" s="75"/>
      <c r="X204" s="75"/>
      <c r="Y204" s="75"/>
      <c r="Z204" s="96">
        <f>SUM(Tableau15[[#This Row],[A-1]:[G-5]])</f>
        <v>0</v>
      </c>
      <c r="AA204" s="96" t="str">
        <f>IF(AND(Z204&gt;0,Tableau15[[#This Row],[CDS]]=""),"Oui","Non")</f>
        <v>Non</v>
      </c>
      <c r="AB204" s="75"/>
      <c r="AC204" s="75"/>
      <c r="AD204" s="75"/>
      <c r="AE204" s="75"/>
      <c r="AF204" s="75"/>
      <c r="AG204" s="75"/>
      <c r="AH204" s="75"/>
      <c r="AI204" s="75"/>
      <c r="AJ204" s="81"/>
      <c r="AK204" s="75"/>
      <c r="AL204" s="75"/>
    </row>
    <row r="205" spans="1:38" ht="15.75" hidden="1" thickBot="1" x14ac:dyDescent="0.3">
      <c r="A205" s="75"/>
      <c r="B205" s="75"/>
      <c r="C205" s="35">
        <f>INDEX(Données!$F$2:$L$54,MATCH(F205,Données!$F$2:$F$54,0),2)</f>
        <v>44053</v>
      </c>
      <c r="D205" s="29" t="str">
        <f t="shared" si="6"/>
        <v>#4</v>
      </c>
      <c r="E205" s="7">
        <f>Données!L34</f>
        <v>44058</v>
      </c>
      <c r="F205" s="6" t="str">
        <f>INDEX(Données!$F$2:$L$54,MATCH('#4'!E205,Données!$G$2:$G$54,1),1)</f>
        <v>33</v>
      </c>
      <c r="G205" s="18" t="str">
        <f t="shared" si="7"/>
        <v>PS-4</v>
      </c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1"/>
      <c r="W205" s="75"/>
      <c r="X205" s="75"/>
      <c r="Y205" s="75"/>
      <c r="Z205" s="96">
        <f>SUM(Tableau15[[#This Row],[A-1]:[G-5]])</f>
        <v>0</v>
      </c>
      <c r="AA205" s="96" t="str">
        <f>IF(AND(Z205&gt;0,Tableau15[[#This Row],[CDS]]=""),"Oui","Non")</f>
        <v>Non</v>
      </c>
      <c r="AB205" s="75"/>
      <c r="AC205" s="75"/>
      <c r="AD205" s="75"/>
      <c r="AE205" s="75"/>
      <c r="AF205" s="75"/>
      <c r="AG205" s="75"/>
      <c r="AH205" s="75"/>
      <c r="AI205" s="75"/>
      <c r="AJ205" s="81"/>
      <c r="AK205" s="75"/>
      <c r="AL205" s="75"/>
    </row>
    <row r="206" spans="1:38" ht="15.75" hidden="1" thickBot="1" x14ac:dyDescent="0.3">
      <c r="A206" s="75"/>
      <c r="B206" s="75"/>
      <c r="C206" s="35">
        <f>INDEX(Données!$F$2:$L$54,MATCH(F206,Données!$F$2:$F$54,0),2)</f>
        <v>44060</v>
      </c>
      <c r="D206" s="29" t="str">
        <f t="shared" si="6"/>
        <v>#4</v>
      </c>
      <c r="E206" s="7">
        <f>Données!G35</f>
        <v>44060</v>
      </c>
      <c r="F206" s="6" t="str">
        <f>INDEX(Données!$F$2:$L$54,MATCH('#4'!E206,Données!$G$2:$G$54,1),1)</f>
        <v>34</v>
      </c>
      <c r="G206" s="18" t="str">
        <f t="shared" si="7"/>
        <v>PS-4</v>
      </c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1"/>
      <c r="W206" s="75"/>
      <c r="X206" s="75"/>
      <c r="Y206" s="75"/>
      <c r="Z206" s="96">
        <f>SUM(Tableau15[[#This Row],[A-1]:[G-5]])</f>
        <v>0</v>
      </c>
      <c r="AA206" s="96" t="str">
        <f>IF(AND(Z206&gt;0,Tableau15[[#This Row],[CDS]]=""),"Oui","Non")</f>
        <v>Non</v>
      </c>
      <c r="AB206" s="75"/>
      <c r="AC206" s="75"/>
      <c r="AD206" s="75"/>
      <c r="AE206" s="75"/>
      <c r="AF206" s="75"/>
      <c r="AG206" s="75"/>
      <c r="AH206" s="75"/>
      <c r="AI206" s="75"/>
      <c r="AJ206" s="81"/>
      <c r="AK206" s="75"/>
      <c r="AL206" s="75"/>
    </row>
    <row r="207" spans="1:38" ht="15.75" hidden="1" thickBot="1" x14ac:dyDescent="0.3">
      <c r="A207" s="75"/>
      <c r="B207" s="75"/>
      <c r="C207" s="35">
        <f>INDEX(Données!$F$2:$L$54,MATCH(F207,Données!$F$2:$F$54,0),2)</f>
        <v>44060</v>
      </c>
      <c r="D207" s="29" t="str">
        <f t="shared" si="6"/>
        <v>#4</v>
      </c>
      <c r="E207" s="7">
        <f>Données!H35</f>
        <v>44061</v>
      </c>
      <c r="F207" s="6" t="str">
        <f>INDEX(Données!$F$2:$L$54,MATCH('#4'!E207,Données!$G$2:$G$54,1),1)</f>
        <v>34</v>
      </c>
      <c r="G207" s="18" t="str">
        <f t="shared" si="7"/>
        <v>PS-4</v>
      </c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1"/>
      <c r="W207" s="75"/>
      <c r="X207" s="75"/>
      <c r="Y207" s="75"/>
      <c r="Z207" s="96">
        <f>SUM(Tableau15[[#This Row],[A-1]:[G-5]])</f>
        <v>0</v>
      </c>
      <c r="AA207" s="96" t="str">
        <f>IF(AND(Z207&gt;0,Tableau15[[#This Row],[CDS]]=""),"Oui","Non")</f>
        <v>Non</v>
      </c>
      <c r="AB207" s="75"/>
      <c r="AC207" s="75"/>
      <c r="AD207" s="75"/>
      <c r="AE207" s="75"/>
      <c r="AF207" s="75"/>
      <c r="AG207" s="75"/>
      <c r="AH207" s="75"/>
      <c r="AI207" s="75"/>
      <c r="AJ207" s="81"/>
      <c r="AK207" s="75"/>
      <c r="AL207" s="75"/>
    </row>
    <row r="208" spans="1:38" ht="15.75" hidden="1" thickBot="1" x14ac:dyDescent="0.3">
      <c r="A208" s="75"/>
      <c r="B208" s="75"/>
      <c r="C208" s="35">
        <f>INDEX(Données!$F$2:$L$54,MATCH(F208,Données!$F$2:$F$54,0),2)</f>
        <v>44060</v>
      </c>
      <c r="D208" s="29" t="str">
        <f t="shared" si="6"/>
        <v>#4</v>
      </c>
      <c r="E208" s="7">
        <f>Données!I35</f>
        <v>44062</v>
      </c>
      <c r="F208" s="6" t="str">
        <f>INDEX(Données!$F$2:$L$54,MATCH('#4'!E208,Données!$G$2:$G$54,1),1)</f>
        <v>34</v>
      </c>
      <c r="G208" s="18" t="str">
        <f t="shared" si="7"/>
        <v>PS-4</v>
      </c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1"/>
      <c r="W208" s="75"/>
      <c r="X208" s="75"/>
      <c r="Y208" s="75"/>
      <c r="Z208" s="96">
        <f>SUM(Tableau15[[#This Row],[A-1]:[G-5]])</f>
        <v>0</v>
      </c>
      <c r="AA208" s="96" t="str">
        <f>IF(AND(Z208&gt;0,Tableau15[[#This Row],[CDS]]=""),"Oui","Non")</f>
        <v>Non</v>
      </c>
      <c r="AB208" s="75"/>
      <c r="AC208" s="75"/>
      <c r="AD208" s="75"/>
      <c r="AE208" s="75"/>
      <c r="AF208" s="75"/>
      <c r="AG208" s="75"/>
      <c r="AH208" s="75"/>
      <c r="AI208" s="75"/>
      <c r="AJ208" s="81"/>
      <c r="AK208" s="75"/>
      <c r="AL208" s="75"/>
    </row>
    <row r="209" spans="1:38" ht="15.75" hidden="1" thickBot="1" x14ac:dyDescent="0.3">
      <c r="A209" s="75"/>
      <c r="B209" s="75"/>
      <c r="C209" s="35">
        <f>INDEX(Données!$F$2:$L$54,MATCH(F209,Données!$F$2:$F$54,0),2)</f>
        <v>44060</v>
      </c>
      <c r="D209" s="29" t="str">
        <f t="shared" si="6"/>
        <v>#4</v>
      </c>
      <c r="E209" s="7">
        <f>Données!J35</f>
        <v>44063</v>
      </c>
      <c r="F209" s="6" t="str">
        <f>INDEX(Données!$F$2:$L$54,MATCH('#4'!E209,Données!$G$2:$G$54,1),1)</f>
        <v>34</v>
      </c>
      <c r="G209" s="18" t="str">
        <f t="shared" si="7"/>
        <v>PS-4</v>
      </c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1"/>
      <c r="W209" s="75"/>
      <c r="X209" s="75"/>
      <c r="Y209" s="75"/>
      <c r="Z209" s="96">
        <f>SUM(Tableau15[[#This Row],[A-1]:[G-5]])</f>
        <v>0</v>
      </c>
      <c r="AA209" s="96" t="str">
        <f>IF(AND(Z209&gt;0,Tableau15[[#This Row],[CDS]]=""),"Oui","Non")</f>
        <v>Non</v>
      </c>
      <c r="AB209" s="75"/>
      <c r="AC209" s="75"/>
      <c r="AD209" s="75"/>
      <c r="AE209" s="75"/>
      <c r="AF209" s="75"/>
      <c r="AG209" s="75"/>
      <c r="AH209" s="75"/>
      <c r="AI209" s="75"/>
      <c r="AJ209" s="81"/>
      <c r="AK209" s="75"/>
      <c r="AL209" s="75"/>
    </row>
    <row r="210" spans="1:38" ht="15.75" hidden="1" thickBot="1" x14ac:dyDescent="0.3">
      <c r="A210" s="75"/>
      <c r="B210" s="75"/>
      <c r="C210" s="35">
        <f>INDEX(Données!$F$2:$L$54,MATCH(F210,Données!$F$2:$F$54,0),2)</f>
        <v>44060</v>
      </c>
      <c r="D210" s="29" t="str">
        <f t="shared" si="6"/>
        <v>#4</v>
      </c>
      <c r="E210" s="7">
        <f>Données!K35</f>
        <v>44064</v>
      </c>
      <c r="F210" s="6" t="str">
        <f>INDEX(Données!$F$2:$L$54,MATCH('#4'!E210,Données!$G$2:$G$54,1),1)</f>
        <v>34</v>
      </c>
      <c r="G210" s="18" t="str">
        <f t="shared" si="7"/>
        <v>PS-4</v>
      </c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1"/>
      <c r="W210" s="75"/>
      <c r="X210" s="75"/>
      <c r="Y210" s="75"/>
      <c r="Z210" s="96">
        <f>SUM(Tableau15[[#This Row],[A-1]:[G-5]])</f>
        <v>0</v>
      </c>
      <c r="AA210" s="96" t="str">
        <f>IF(AND(Z210&gt;0,Tableau15[[#This Row],[CDS]]=""),"Oui","Non")</f>
        <v>Non</v>
      </c>
      <c r="AB210" s="75"/>
      <c r="AC210" s="75"/>
      <c r="AD210" s="75"/>
      <c r="AE210" s="75"/>
      <c r="AF210" s="75"/>
      <c r="AG210" s="75"/>
      <c r="AH210" s="75"/>
      <c r="AI210" s="75"/>
      <c r="AJ210" s="81"/>
      <c r="AK210" s="75"/>
      <c r="AL210" s="75"/>
    </row>
    <row r="211" spans="1:38" ht="15.75" hidden="1" thickBot="1" x14ac:dyDescent="0.3">
      <c r="A211" s="75"/>
      <c r="B211" s="75"/>
      <c r="C211" s="35">
        <f>INDEX(Données!$F$2:$L$54,MATCH(F211,Données!$F$2:$F$54,0),2)</f>
        <v>44060</v>
      </c>
      <c r="D211" s="29" t="str">
        <f t="shared" si="6"/>
        <v>#4</v>
      </c>
      <c r="E211" s="7">
        <f>Données!L35</f>
        <v>44065</v>
      </c>
      <c r="F211" s="6" t="str">
        <f>INDEX(Données!$F$2:$L$54,MATCH('#4'!E211,Données!$G$2:$G$54,1),1)</f>
        <v>34</v>
      </c>
      <c r="G211" s="18" t="str">
        <f t="shared" si="7"/>
        <v>PS-4</v>
      </c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1"/>
      <c r="W211" s="75"/>
      <c r="X211" s="75"/>
      <c r="Y211" s="75"/>
      <c r="Z211" s="96">
        <f>SUM(Tableau15[[#This Row],[A-1]:[G-5]])</f>
        <v>0</v>
      </c>
      <c r="AA211" s="96" t="str">
        <f>IF(AND(Z211&gt;0,Tableau15[[#This Row],[CDS]]=""),"Oui","Non")</f>
        <v>Non</v>
      </c>
      <c r="AB211" s="75"/>
      <c r="AC211" s="75"/>
      <c r="AD211" s="75"/>
      <c r="AE211" s="75"/>
      <c r="AF211" s="75"/>
      <c r="AG211" s="75"/>
      <c r="AH211" s="75"/>
      <c r="AI211" s="75"/>
      <c r="AJ211" s="81"/>
      <c r="AK211" s="75"/>
      <c r="AL211" s="75"/>
    </row>
    <row r="212" spans="1:38" ht="15.75" hidden="1" thickBot="1" x14ac:dyDescent="0.3">
      <c r="A212" s="75"/>
      <c r="B212" s="75"/>
      <c r="C212" s="35">
        <f>INDEX(Données!$F$2:$L$54,MATCH(F212,Données!$F$2:$F$54,0),2)</f>
        <v>44067</v>
      </c>
      <c r="D212" s="29" t="str">
        <f t="shared" si="6"/>
        <v>#4</v>
      </c>
      <c r="E212" s="7">
        <f>Données!G36</f>
        <v>44067</v>
      </c>
      <c r="F212" s="6" t="str">
        <f>INDEX(Données!$F$2:$L$54,MATCH('#4'!E212,Données!$G$2:$G$54,1),1)</f>
        <v>35</v>
      </c>
      <c r="G212" s="18" t="str">
        <f t="shared" si="7"/>
        <v>PS-4</v>
      </c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1"/>
      <c r="W212" s="75"/>
      <c r="X212" s="75"/>
      <c r="Y212" s="75"/>
      <c r="Z212" s="96">
        <f>SUM(Tableau15[[#This Row],[A-1]:[G-5]])</f>
        <v>0</v>
      </c>
      <c r="AA212" s="96" t="str">
        <f>IF(AND(Z212&gt;0,Tableau15[[#This Row],[CDS]]=""),"Oui","Non")</f>
        <v>Non</v>
      </c>
      <c r="AB212" s="75"/>
      <c r="AC212" s="75"/>
      <c r="AD212" s="75"/>
      <c r="AE212" s="75"/>
      <c r="AF212" s="75"/>
      <c r="AG212" s="75"/>
      <c r="AH212" s="75"/>
      <c r="AI212" s="75"/>
      <c r="AJ212" s="81"/>
      <c r="AK212" s="75"/>
      <c r="AL212" s="75"/>
    </row>
    <row r="213" spans="1:38" ht="15.75" hidden="1" thickBot="1" x14ac:dyDescent="0.3">
      <c r="A213" s="75"/>
      <c r="B213" s="75"/>
      <c r="C213" s="35">
        <f>INDEX(Données!$F$2:$L$54,MATCH(F213,Données!$F$2:$F$54,0),2)</f>
        <v>44067</v>
      </c>
      <c r="D213" s="29" t="str">
        <f t="shared" si="6"/>
        <v>#4</v>
      </c>
      <c r="E213" s="7">
        <f>Données!H36</f>
        <v>44068</v>
      </c>
      <c r="F213" s="6" t="str">
        <f>INDEX(Données!$F$2:$L$54,MATCH('#4'!E213,Données!$G$2:$G$54,1),1)</f>
        <v>35</v>
      </c>
      <c r="G213" s="18" t="str">
        <f t="shared" si="7"/>
        <v>PS-4</v>
      </c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1"/>
      <c r="W213" s="75"/>
      <c r="X213" s="75"/>
      <c r="Y213" s="75"/>
      <c r="Z213" s="96">
        <f>SUM(Tableau15[[#This Row],[A-1]:[G-5]])</f>
        <v>0</v>
      </c>
      <c r="AA213" s="96" t="str">
        <f>IF(AND(Z213&gt;0,Tableau15[[#This Row],[CDS]]=""),"Oui","Non")</f>
        <v>Non</v>
      </c>
      <c r="AB213" s="75"/>
      <c r="AC213" s="75"/>
      <c r="AD213" s="75"/>
      <c r="AE213" s="75"/>
      <c r="AF213" s="75"/>
      <c r="AG213" s="75"/>
      <c r="AH213" s="75"/>
      <c r="AI213" s="75"/>
      <c r="AJ213" s="81"/>
      <c r="AK213" s="75"/>
      <c r="AL213" s="75"/>
    </row>
    <row r="214" spans="1:38" ht="15.75" hidden="1" thickBot="1" x14ac:dyDescent="0.3">
      <c r="A214" s="75"/>
      <c r="B214" s="75"/>
      <c r="C214" s="35">
        <f>INDEX(Données!$F$2:$L$54,MATCH(F214,Données!$F$2:$F$54,0),2)</f>
        <v>44067</v>
      </c>
      <c r="D214" s="29" t="str">
        <f t="shared" si="6"/>
        <v>#4</v>
      </c>
      <c r="E214" s="7">
        <f>Données!I36</f>
        <v>44069</v>
      </c>
      <c r="F214" s="6" t="str">
        <f>INDEX(Données!$F$2:$L$54,MATCH('#4'!E214,Données!$G$2:$G$54,1),1)</f>
        <v>35</v>
      </c>
      <c r="G214" s="18" t="str">
        <f t="shared" si="7"/>
        <v>PS-4</v>
      </c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1"/>
      <c r="W214" s="75"/>
      <c r="X214" s="75"/>
      <c r="Y214" s="75"/>
      <c r="Z214" s="96">
        <f>SUM(Tableau15[[#This Row],[A-1]:[G-5]])</f>
        <v>0</v>
      </c>
      <c r="AA214" s="96" t="str">
        <f>IF(AND(Z214&gt;0,Tableau15[[#This Row],[CDS]]=""),"Oui","Non")</f>
        <v>Non</v>
      </c>
      <c r="AB214" s="75"/>
      <c r="AC214" s="75"/>
      <c r="AD214" s="75"/>
      <c r="AE214" s="75"/>
      <c r="AF214" s="75"/>
      <c r="AG214" s="75"/>
      <c r="AH214" s="75"/>
      <c r="AI214" s="75"/>
      <c r="AJ214" s="81"/>
      <c r="AK214" s="75"/>
      <c r="AL214" s="75"/>
    </row>
    <row r="215" spans="1:38" ht="15.75" hidden="1" thickBot="1" x14ac:dyDescent="0.3">
      <c r="A215" s="75"/>
      <c r="B215" s="75"/>
      <c r="C215" s="35">
        <f>INDEX(Données!$F$2:$L$54,MATCH(F215,Données!$F$2:$F$54,0),2)</f>
        <v>44067</v>
      </c>
      <c r="D215" s="29" t="str">
        <f t="shared" si="6"/>
        <v>#4</v>
      </c>
      <c r="E215" s="7">
        <f>Données!J36</f>
        <v>44070</v>
      </c>
      <c r="F215" s="6" t="str">
        <f>INDEX(Données!$F$2:$L$54,MATCH('#4'!E215,Données!$G$2:$G$54,1),1)</f>
        <v>35</v>
      </c>
      <c r="G215" s="18" t="str">
        <f t="shared" si="7"/>
        <v>PS-4</v>
      </c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1"/>
      <c r="W215" s="75"/>
      <c r="X215" s="75"/>
      <c r="Y215" s="75"/>
      <c r="Z215" s="96">
        <f>SUM(Tableau15[[#This Row],[A-1]:[G-5]])</f>
        <v>0</v>
      </c>
      <c r="AA215" s="96" t="str">
        <f>IF(AND(Z215&gt;0,Tableau15[[#This Row],[CDS]]=""),"Oui","Non")</f>
        <v>Non</v>
      </c>
      <c r="AB215" s="75"/>
      <c r="AC215" s="75"/>
      <c r="AD215" s="75"/>
      <c r="AE215" s="75"/>
      <c r="AF215" s="75"/>
      <c r="AG215" s="75"/>
      <c r="AH215" s="75"/>
      <c r="AI215" s="75"/>
      <c r="AJ215" s="81"/>
      <c r="AK215" s="75"/>
      <c r="AL215" s="75"/>
    </row>
    <row r="216" spans="1:38" ht="15.75" hidden="1" thickBot="1" x14ac:dyDescent="0.3">
      <c r="A216" s="75"/>
      <c r="B216" s="75"/>
      <c r="C216" s="35">
        <f>INDEX(Données!$F$2:$L$54,MATCH(F216,Données!$F$2:$F$54,0),2)</f>
        <v>44067</v>
      </c>
      <c r="D216" s="29" t="str">
        <f t="shared" si="6"/>
        <v>#4</v>
      </c>
      <c r="E216" s="7">
        <f>Données!K36</f>
        <v>44071</v>
      </c>
      <c r="F216" s="6" t="str">
        <f>INDEX(Données!$F$2:$L$54,MATCH('#4'!E216,Données!$G$2:$G$54,1),1)</f>
        <v>35</v>
      </c>
      <c r="G216" s="18" t="str">
        <f t="shared" si="7"/>
        <v>PS-4</v>
      </c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1"/>
      <c r="W216" s="75"/>
      <c r="X216" s="75"/>
      <c r="Y216" s="75"/>
      <c r="Z216" s="96">
        <f>SUM(Tableau15[[#This Row],[A-1]:[G-5]])</f>
        <v>0</v>
      </c>
      <c r="AA216" s="96" t="str">
        <f>IF(AND(Z216&gt;0,Tableau15[[#This Row],[CDS]]=""),"Oui","Non")</f>
        <v>Non</v>
      </c>
      <c r="AB216" s="75"/>
      <c r="AC216" s="75"/>
      <c r="AD216" s="75"/>
      <c r="AE216" s="75"/>
      <c r="AF216" s="75"/>
      <c r="AG216" s="75"/>
      <c r="AH216" s="75"/>
      <c r="AI216" s="75"/>
      <c r="AJ216" s="81"/>
      <c r="AK216" s="75"/>
      <c r="AL216" s="75"/>
    </row>
    <row r="217" spans="1:38" ht="15.75" hidden="1" thickBot="1" x14ac:dyDescent="0.3">
      <c r="A217" s="75"/>
      <c r="B217" s="75"/>
      <c r="C217" s="35">
        <f>INDEX(Données!$F$2:$L$54,MATCH(F217,Données!$F$2:$F$54,0),2)</f>
        <v>44067</v>
      </c>
      <c r="D217" s="29" t="str">
        <f t="shared" si="6"/>
        <v>#4</v>
      </c>
      <c r="E217" s="7">
        <f>Données!L36</f>
        <v>44072</v>
      </c>
      <c r="F217" s="6" t="str">
        <f>INDEX(Données!$F$2:$L$54,MATCH('#4'!E217,Données!$G$2:$G$54,1),1)</f>
        <v>35</v>
      </c>
      <c r="G217" s="18" t="str">
        <f t="shared" si="7"/>
        <v>PS-4</v>
      </c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1"/>
      <c r="W217" s="75"/>
      <c r="X217" s="75"/>
      <c r="Y217" s="75"/>
      <c r="Z217" s="96">
        <f>SUM(Tableau15[[#This Row],[A-1]:[G-5]])</f>
        <v>0</v>
      </c>
      <c r="AA217" s="96" t="str">
        <f>IF(AND(Z217&gt;0,Tableau15[[#This Row],[CDS]]=""),"Oui","Non")</f>
        <v>Non</v>
      </c>
      <c r="AB217" s="75"/>
      <c r="AC217" s="75"/>
      <c r="AD217" s="75"/>
      <c r="AE217" s="75"/>
      <c r="AF217" s="75"/>
      <c r="AG217" s="75"/>
      <c r="AH217" s="75"/>
      <c r="AI217" s="75"/>
      <c r="AJ217" s="81"/>
      <c r="AK217" s="75"/>
      <c r="AL217" s="75"/>
    </row>
    <row r="218" spans="1:38" ht="15.75" hidden="1" thickBot="1" x14ac:dyDescent="0.3">
      <c r="A218" s="75"/>
      <c r="B218" s="75"/>
      <c r="C218" s="35">
        <f>INDEX(Données!$F$2:$L$54,MATCH(F218,Données!$F$2:$F$54,0),2)</f>
        <v>44074</v>
      </c>
      <c r="D218" s="29" t="str">
        <f t="shared" si="6"/>
        <v>#4</v>
      </c>
      <c r="E218" s="7">
        <f>Données!G37</f>
        <v>44074</v>
      </c>
      <c r="F218" s="6" t="str">
        <f>INDEX(Données!$F$2:$L$54,MATCH('#4'!E218,Données!$G$2:$G$54,1),1)</f>
        <v>36</v>
      </c>
      <c r="G218" s="18" t="str">
        <f t="shared" si="7"/>
        <v>PS-4</v>
      </c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1"/>
      <c r="W218" s="75"/>
      <c r="X218" s="75"/>
      <c r="Y218" s="75"/>
      <c r="Z218" s="96">
        <f>SUM(Tableau15[[#This Row],[A-1]:[G-5]])</f>
        <v>0</v>
      </c>
      <c r="AA218" s="96" t="str">
        <f>IF(AND(Z218&gt;0,Tableau15[[#This Row],[CDS]]=""),"Oui","Non")</f>
        <v>Non</v>
      </c>
      <c r="AB218" s="75"/>
      <c r="AC218" s="75"/>
      <c r="AD218" s="75"/>
      <c r="AE218" s="75"/>
      <c r="AF218" s="75"/>
      <c r="AG218" s="75"/>
      <c r="AH218" s="75"/>
      <c r="AI218" s="75"/>
      <c r="AJ218" s="81"/>
      <c r="AK218" s="75"/>
      <c r="AL218" s="75"/>
    </row>
    <row r="219" spans="1:38" ht="15.75" hidden="1" thickBot="1" x14ac:dyDescent="0.3">
      <c r="A219" s="75"/>
      <c r="B219" s="75"/>
      <c r="C219" s="35">
        <f>INDEX(Données!$F$2:$L$54,MATCH(F219,Données!$F$2:$F$54,0),2)</f>
        <v>44074</v>
      </c>
      <c r="D219" s="29" t="str">
        <f t="shared" si="6"/>
        <v>#4</v>
      </c>
      <c r="E219" s="7">
        <f>Données!H37</f>
        <v>44075</v>
      </c>
      <c r="F219" s="6" t="str">
        <f>INDEX(Données!$F$2:$L$54,MATCH('#4'!E219,Données!$G$2:$G$54,1),1)</f>
        <v>36</v>
      </c>
      <c r="G219" s="18" t="str">
        <f t="shared" si="7"/>
        <v>PS-4</v>
      </c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1"/>
      <c r="W219" s="75"/>
      <c r="X219" s="75"/>
      <c r="Y219" s="75"/>
      <c r="Z219" s="96">
        <f>SUM(Tableau15[[#This Row],[A-1]:[G-5]])</f>
        <v>0</v>
      </c>
      <c r="AA219" s="96" t="str">
        <f>IF(AND(Z219&gt;0,Tableau15[[#This Row],[CDS]]=""),"Oui","Non")</f>
        <v>Non</v>
      </c>
      <c r="AB219" s="75"/>
      <c r="AC219" s="75"/>
      <c r="AD219" s="75"/>
      <c r="AE219" s="75"/>
      <c r="AF219" s="75"/>
      <c r="AG219" s="75"/>
      <c r="AH219" s="75"/>
      <c r="AI219" s="75"/>
      <c r="AJ219" s="81"/>
      <c r="AK219" s="75"/>
      <c r="AL219" s="75"/>
    </row>
    <row r="220" spans="1:38" ht="15.75" hidden="1" thickBot="1" x14ac:dyDescent="0.3">
      <c r="A220" s="75"/>
      <c r="B220" s="75"/>
      <c r="C220" s="35">
        <f>INDEX(Données!$F$2:$L$54,MATCH(F220,Données!$F$2:$F$54,0),2)</f>
        <v>44074</v>
      </c>
      <c r="D220" s="29" t="str">
        <f t="shared" si="6"/>
        <v>#4</v>
      </c>
      <c r="E220" s="7">
        <f>Données!I37</f>
        <v>44076</v>
      </c>
      <c r="F220" s="6" t="str">
        <f>INDEX(Données!$F$2:$L$54,MATCH('#4'!E220,Données!$G$2:$G$54,1),1)</f>
        <v>36</v>
      </c>
      <c r="G220" s="18" t="str">
        <f t="shared" si="7"/>
        <v>PS-4</v>
      </c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1"/>
      <c r="W220" s="75"/>
      <c r="X220" s="75"/>
      <c r="Y220" s="75"/>
      <c r="Z220" s="96">
        <f>SUM(Tableau15[[#This Row],[A-1]:[G-5]])</f>
        <v>0</v>
      </c>
      <c r="AA220" s="96" t="str">
        <f>IF(AND(Z220&gt;0,Tableau15[[#This Row],[CDS]]=""),"Oui","Non")</f>
        <v>Non</v>
      </c>
      <c r="AB220" s="75"/>
      <c r="AC220" s="75"/>
      <c r="AD220" s="75"/>
      <c r="AE220" s="75"/>
      <c r="AF220" s="75"/>
      <c r="AG220" s="75"/>
      <c r="AH220" s="75"/>
      <c r="AI220" s="75"/>
      <c r="AJ220" s="81"/>
      <c r="AK220" s="75"/>
      <c r="AL220" s="75"/>
    </row>
    <row r="221" spans="1:38" ht="15.75" hidden="1" thickBot="1" x14ac:dyDescent="0.3">
      <c r="A221" s="75"/>
      <c r="B221" s="75"/>
      <c r="C221" s="35">
        <f>INDEX(Données!$F$2:$L$54,MATCH(F221,Données!$F$2:$F$54,0),2)</f>
        <v>44074</v>
      </c>
      <c r="D221" s="29" t="str">
        <f t="shared" si="6"/>
        <v>#4</v>
      </c>
      <c r="E221" s="7">
        <f>Données!J37</f>
        <v>44077</v>
      </c>
      <c r="F221" s="6" t="str">
        <f>INDEX(Données!$F$2:$L$54,MATCH('#4'!E221,Données!$G$2:$G$54,1),1)</f>
        <v>36</v>
      </c>
      <c r="G221" s="18" t="str">
        <f t="shared" si="7"/>
        <v>PS-4</v>
      </c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1"/>
      <c r="W221" s="75"/>
      <c r="X221" s="75"/>
      <c r="Y221" s="75"/>
      <c r="Z221" s="96">
        <f>SUM(Tableau15[[#This Row],[A-1]:[G-5]])</f>
        <v>0</v>
      </c>
      <c r="AA221" s="96" t="str">
        <f>IF(AND(Z221&gt;0,Tableau15[[#This Row],[CDS]]=""),"Oui","Non")</f>
        <v>Non</v>
      </c>
      <c r="AB221" s="75"/>
      <c r="AC221" s="75"/>
      <c r="AD221" s="75"/>
      <c r="AE221" s="75"/>
      <c r="AF221" s="75"/>
      <c r="AG221" s="75"/>
      <c r="AH221" s="75"/>
      <c r="AI221" s="75"/>
      <c r="AJ221" s="81"/>
      <c r="AK221" s="75"/>
      <c r="AL221" s="75"/>
    </row>
    <row r="222" spans="1:38" ht="15.75" hidden="1" thickBot="1" x14ac:dyDescent="0.3">
      <c r="A222" s="75"/>
      <c r="B222" s="75"/>
      <c r="C222" s="35">
        <f>INDEX(Données!$F$2:$L$54,MATCH(F222,Données!$F$2:$F$54,0),2)</f>
        <v>44074</v>
      </c>
      <c r="D222" s="29" t="str">
        <f t="shared" si="6"/>
        <v>#4</v>
      </c>
      <c r="E222" s="7">
        <f>Données!K37</f>
        <v>44078</v>
      </c>
      <c r="F222" s="6" t="str">
        <f>INDEX(Données!$F$2:$L$54,MATCH('#4'!E222,Données!$G$2:$G$54,1),1)</f>
        <v>36</v>
      </c>
      <c r="G222" s="18" t="str">
        <f t="shared" si="7"/>
        <v>PS-4</v>
      </c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1"/>
      <c r="W222" s="75"/>
      <c r="X222" s="75"/>
      <c r="Y222" s="75"/>
      <c r="Z222" s="96">
        <f>SUM(Tableau15[[#This Row],[A-1]:[G-5]])</f>
        <v>0</v>
      </c>
      <c r="AA222" s="96" t="str">
        <f>IF(AND(Z222&gt;0,Tableau15[[#This Row],[CDS]]=""),"Oui","Non")</f>
        <v>Non</v>
      </c>
      <c r="AB222" s="75"/>
      <c r="AC222" s="75"/>
      <c r="AD222" s="75"/>
      <c r="AE222" s="75"/>
      <c r="AF222" s="75"/>
      <c r="AG222" s="75"/>
      <c r="AH222" s="75"/>
      <c r="AI222" s="75"/>
      <c r="AJ222" s="81"/>
      <c r="AK222" s="75"/>
      <c r="AL222" s="75"/>
    </row>
    <row r="223" spans="1:38" ht="15.75" hidden="1" thickBot="1" x14ac:dyDescent="0.3">
      <c r="A223" s="75"/>
      <c r="B223" s="75"/>
      <c r="C223" s="35">
        <f>INDEX(Données!$F$2:$L$54,MATCH(F223,Données!$F$2:$F$54,0),2)</f>
        <v>44074</v>
      </c>
      <c r="D223" s="29" t="str">
        <f t="shared" si="6"/>
        <v>#4</v>
      </c>
      <c r="E223" s="7">
        <f>Données!L37</f>
        <v>44079</v>
      </c>
      <c r="F223" s="6" t="str">
        <f>INDEX(Données!$F$2:$L$54,MATCH('#4'!E223,Données!$G$2:$G$54,1),1)</f>
        <v>36</v>
      </c>
      <c r="G223" s="18" t="str">
        <f t="shared" si="7"/>
        <v>PS-4</v>
      </c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1"/>
      <c r="W223" s="75"/>
      <c r="X223" s="75"/>
      <c r="Y223" s="75"/>
      <c r="Z223" s="96">
        <f>SUM(Tableau15[[#This Row],[A-1]:[G-5]])</f>
        <v>0</v>
      </c>
      <c r="AA223" s="96" t="str">
        <f>IF(AND(Z223&gt;0,Tableau15[[#This Row],[CDS]]=""),"Oui","Non")</f>
        <v>Non</v>
      </c>
      <c r="AB223" s="75"/>
      <c r="AC223" s="75"/>
      <c r="AD223" s="75"/>
      <c r="AE223" s="75"/>
      <c r="AF223" s="75"/>
      <c r="AG223" s="75"/>
      <c r="AH223" s="75"/>
      <c r="AI223" s="75"/>
      <c r="AJ223" s="81"/>
      <c r="AK223" s="75"/>
      <c r="AL223" s="75"/>
    </row>
    <row r="224" spans="1:38" ht="15.75" hidden="1" thickBot="1" x14ac:dyDescent="0.3">
      <c r="A224" s="75"/>
      <c r="B224" s="75"/>
      <c r="C224" s="35">
        <f>INDEX(Données!$F$2:$L$54,MATCH(F224,Données!$F$2:$F$54,0),2)</f>
        <v>44081</v>
      </c>
      <c r="D224" s="29" t="str">
        <f t="shared" si="6"/>
        <v>#4</v>
      </c>
      <c r="E224" s="7">
        <f>Données!G38</f>
        <v>44081</v>
      </c>
      <c r="F224" s="6" t="str">
        <f>INDEX(Données!$F$2:$L$54,MATCH('#4'!E224,Données!$G$2:$G$54,1),1)</f>
        <v>37</v>
      </c>
      <c r="G224" s="18" t="str">
        <f t="shared" si="7"/>
        <v>PS-4</v>
      </c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1"/>
      <c r="W224" s="75"/>
      <c r="X224" s="75"/>
      <c r="Y224" s="75"/>
      <c r="Z224" s="96">
        <f>SUM(Tableau15[[#This Row],[A-1]:[G-5]])</f>
        <v>0</v>
      </c>
      <c r="AA224" s="96" t="str">
        <f>IF(AND(Z224&gt;0,Tableau15[[#This Row],[CDS]]=""),"Oui","Non")</f>
        <v>Non</v>
      </c>
      <c r="AB224" s="75"/>
      <c r="AC224" s="75"/>
      <c r="AD224" s="75"/>
      <c r="AE224" s="75"/>
      <c r="AF224" s="75"/>
      <c r="AG224" s="75"/>
      <c r="AH224" s="75"/>
      <c r="AI224" s="75"/>
      <c r="AJ224" s="81"/>
      <c r="AK224" s="75"/>
      <c r="AL224" s="75"/>
    </row>
    <row r="225" spans="1:38" ht="15.75" hidden="1" thickBot="1" x14ac:dyDescent="0.3">
      <c r="A225" s="75"/>
      <c r="B225" s="75"/>
      <c r="C225" s="35">
        <f>INDEX(Données!$F$2:$L$54,MATCH(F225,Données!$F$2:$F$54,0),2)</f>
        <v>44081</v>
      </c>
      <c r="D225" s="29" t="str">
        <f t="shared" si="6"/>
        <v>#4</v>
      </c>
      <c r="E225" s="7">
        <f>Données!H38</f>
        <v>44082</v>
      </c>
      <c r="F225" s="6" t="str">
        <f>INDEX(Données!$F$2:$L$54,MATCH('#4'!E225,Données!$G$2:$G$54,1),1)</f>
        <v>37</v>
      </c>
      <c r="G225" s="18" t="str">
        <f t="shared" si="7"/>
        <v>PS-4</v>
      </c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1"/>
      <c r="W225" s="75"/>
      <c r="X225" s="75"/>
      <c r="Y225" s="75"/>
      <c r="Z225" s="96">
        <f>SUM(Tableau15[[#This Row],[A-1]:[G-5]])</f>
        <v>0</v>
      </c>
      <c r="AA225" s="96" t="str">
        <f>IF(AND(Z225&gt;0,Tableau15[[#This Row],[CDS]]=""),"Oui","Non")</f>
        <v>Non</v>
      </c>
      <c r="AB225" s="75"/>
      <c r="AC225" s="75"/>
      <c r="AD225" s="75"/>
      <c r="AE225" s="75"/>
      <c r="AF225" s="75"/>
      <c r="AG225" s="75"/>
      <c r="AH225" s="75"/>
      <c r="AI225" s="75"/>
      <c r="AJ225" s="81"/>
      <c r="AK225" s="75"/>
      <c r="AL225" s="75"/>
    </row>
    <row r="226" spans="1:38" ht="15.75" hidden="1" thickBot="1" x14ac:dyDescent="0.3">
      <c r="A226" s="75"/>
      <c r="B226" s="75"/>
      <c r="C226" s="35">
        <f>INDEX(Données!$F$2:$L$54,MATCH(F226,Données!$F$2:$F$54,0),2)</f>
        <v>44081</v>
      </c>
      <c r="D226" s="29" t="str">
        <f t="shared" si="6"/>
        <v>#4</v>
      </c>
      <c r="E226" s="7">
        <f>Données!I38</f>
        <v>44083</v>
      </c>
      <c r="F226" s="6" t="str">
        <f>INDEX(Données!$F$2:$L$54,MATCH('#4'!E226,Données!$G$2:$G$54,1),1)</f>
        <v>37</v>
      </c>
      <c r="G226" s="18" t="str">
        <f t="shared" si="7"/>
        <v>PS-4</v>
      </c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1"/>
      <c r="W226" s="75"/>
      <c r="X226" s="75"/>
      <c r="Y226" s="75"/>
      <c r="Z226" s="96">
        <f>SUM(Tableau15[[#This Row],[A-1]:[G-5]])</f>
        <v>0</v>
      </c>
      <c r="AA226" s="96" t="str">
        <f>IF(AND(Z226&gt;0,Tableau15[[#This Row],[CDS]]=""),"Oui","Non")</f>
        <v>Non</v>
      </c>
      <c r="AB226" s="75"/>
      <c r="AC226" s="75"/>
      <c r="AD226" s="75"/>
      <c r="AE226" s="75"/>
      <c r="AF226" s="75"/>
      <c r="AG226" s="75"/>
      <c r="AH226" s="75"/>
      <c r="AI226" s="75"/>
      <c r="AJ226" s="81"/>
      <c r="AK226" s="75"/>
      <c r="AL226" s="75"/>
    </row>
    <row r="227" spans="1:38" ht="15.75" hidden="1" thickBot="1" x14ac:dyDescent="0.3">
      <c r="A227" s="75"/>
      <c r="B227" s="75"/>
      <c r="C227" s="35">
        <f>INDEX(Données!$F$2:$L$54,MATCH(F227,Données!$F$2:$F$54,0),2)</f>
        <v>44081</v>
      </c>
      <c r="D227" s="29" t="str">
        <f t="shared" si="6"/>
        <v>#4</v>
      </c>
      <c r="E227" s="7">
        <f>Données!J38</f>
        <v>44084</v>
      </c>
      <c r="F227" s="6" t="str">
        <f>INDEX(Données!$F$2:$L$54,MATCH('#4'!E227,Données!$G$2:$G$54,1),1)</f>
        <v>37</v>
      </c>
      <c r="G227" s="18" t="str">
        <f t="shared" si="7"/>
        <v>PS-4</v>
      </c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1"/>
      <c r="W227" s="75"/>
      <c r="X227" s="75"/>
      <c r="Y227" s="75"/>
      <c r="Z227" s="96">
        <f>SUM(Tableau15[[#This Row],[A-1]:[G-5]])</f>
        <v>0</v>
      </c>
      <c r="AA227" s="96" t="str">
        <f>IF(AND(Z227&gt;0,Tableau15[[#This Row],[CDS]]=""),"Oui","Non")</f>
        <v>Non</v>
      </c>
      <c r="AB227" s="75"/>
      <c r="AC227" s="75"/>
      <c r="AD227" s="75"/>
      <c r="AE227" s="75"/>
      <c r="AF227" s="75"/>
      <c r="AG227" s="75"/>
      <c r="AH227" s="75"/>
      <c r="AI227" s="75"/>
      <c r="AJ227" s="81"/>
      <c r="AK227" s="75"/>
      <c r="AL227" s="75"/>
    </row>
    <row r="228" spans="1:38" ht="15.75" hidden="1" thickBot="1" x14ac:dyDescent="0.3">
      <c r="A228" s="75"/>
      <c r="B228" s="75"/>
      <c r="C228" s="35">
        <f>INDEX(Données!$F$2:$L$54,MATCH(F228,Données!$F$2:$F$54,0),2)</f>
        <v>44081</v>
      </c>
      <c r="D228" s="29" t="str">
        <f t="shared" si="6"/>
        <v>#4</v>
      </c>
      <c r="E228" s="7">
        <f>Données!K38</f>
        <v>44085</v>
      </c>
      <c r="F228" s="6" t="str">
        <f>INDEX(Données!$F$2:$L$54,MATCH('#4'!E228,Données!$G$2:$G$54,1),1)</f>
        <v>37</v>
      </c>
      <c r="G228" s="18" t="str">
        <f t="shared" si="7"/>
        <v>PS-4</v>
      </c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1"/>
      <c r="W228" s="75"/>
      <c r="X228" s="75"/>
      <c r="Y228" s="75"/>
      <c r="Z228" s="96">
        <f>SUM(Tableau15[[#This Row],[A-1]:[G-5]])</f>
        <v>0</v>
      </c>
      <c r="AA228" s="96" t="str">
        <f>IF(AND(Z228&gt;0,Tableau15[[#This Row],[CDS]]=""),"Oui","Non")</f>
        <v>Non</v>
      </c>
      <c r="AB228" s="75"/>
      <c r="AC228" s="75"/>
      <c r="AD228" s="75"/>
      <c r="AE228" s="75"/>
      <c r="AF228" s="75"/>
      <c r="AG228" s="75"/>
      <c r="AH228" s="75"/>
      <c r="AI228" s="75"/>
      <c r="AJ228" s="81"/>
      <c r="AK228" s="75"/>
      <c r="AL228" s="75"/>
    </row>
    <row r="229" spans="1:38" ht="15.75" hidden="1" thickBot="1" x14ac:dyDescent="0.3">
      <c r="A229" s="75"/>
      <c r="B229" s="75"/>
      <c r="C229" s="35">
        <f>INDEX(Données!$F$2:$L$54,MATCH(F229,Données!$F$2:$F$54,0),2)</f>
        <v>44081</v>
      </c>
      <c r="D229" s="29" t="str">
        <f t="shared" si="6"/>
        <v>#4</v>
      </c>
      <c r="E229" s="7">
        <f>Données!L38</f>
        <v>44086</v>
      </c>
      <c r="F229" s="6" t="str">
        <f>INDEX(Données!$F$2:$L$54,MATCH('#4'!E229,Données!$G$2:$G$54,1),1)</f>
        <v>37</v>
      </c>
      <c r="G229" s="18" t="str">
        <f t="shared" si="7"/>
        <v>PS-4</v>
      </c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1"/>
      <c r="W229" s="75"/>
      <c r="X229" s="75"/>
      <c r="Y229" s="75"/>
      <c r="Z229" s="96">
        <f>SUM(Tableau15[[#This Row],[A-1]:[G-5]])</f>
        <v>0</v>
      </c>
      <c r="AA229" s="96" t="str">
        <f>IF(AND(Z229&gt;0,Tableau15[[#This Row],[CDS]]=""),"Oui","Non")</f>
        <v>Non</v>
      </c>
      <c r="AB229" s="75"/>
      <c r="AC229" s="75"/>
      <c r="AD229" s="75"/>
      <c r="AE229" s="75"/>
      <c r="AF229" s="75"/>
      <c r="AG229" s="75"/>
      <c r="AH229" s="75"/>
      <c r="AI229" s="75"/>
      <c r="AJ229" s="81"/>
      <c r="AK229" s="75"/>
      <c r="AL229" s="75"/>
    </row>
    <row r="230" spans="1:38" ht="15.75" hidden="1" thickBot="1" x14ac:dyDescent="0.3">
      <c r="A230" s="75"/>
      <c r="B230" s="75"/>
      <c r="C230" s="35">
        <f>INDEX(Données!$F$2:$L$54,MATCH(F230,Données!$F$2:$F$54,0),2)</f>
        <v>44088</v>
      </c>
      <c r="D230" s="29" t="str">
        <f t="shared" si="6"/>
        <v>#4</v>
      </c>
      <c r="E230" s="7">
        <f>Données!G39</f>
        <v>44088</v>
      </c>
      <c r="F230" s="6" t="str">
        <f>INDEX(Données!$F$2:$L$54,MATCH('#4'!E230,Données!$G$2:$G$54,1),1)</f>
        <v>38</v>
      </c>
      <c r="G230" s="18" t="str">
        <f t="shared" si="7"/>
        <v>PS-4</v>
      </c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1"/>
      <c r="W230" s="75"/>
      <c r="X230" s="75"/>
      <c r="Y230" s="75"/>
      <c r="Z230" s="96">
        <f>SUM(Tableau15[[#This Row],[A-1]:[G-5]])</f>
        <v>0</v>
      </c>
      <c r="AA230" s="96" t="str">
        <f>IF(AND(Z230&gt;0,Tableau15[[#This Row],[CDS]]=""),"Oui","Non")</f>
        <v>Non</v>
      </c>
      <c r="AB230" s="75"/>
      <c r="AC230" s="75"/>
      <c r="AD230" s="75"/>
      <c r="AE230" s="75"/>
      <c r="AF230" s="75"/>
      <c r="AG230" s="75"/>
      <c r="AH230" s="75"/>
      <c r="AI230" s="75"/>
      <c r="AJ230" s="81"/>
      <c r="AK230" s="75"/>
      <c r="AL230" s="75"/>
    </row>
    <row r="231" spans="1:38" ht="15.75" hidden="1" thickBot="1" x14ac:dyDescent="0.3">
      <c r="A231" s="75"/>
      <c r="B231" s="75"/>
      <c r="C231" s="35">
        <f>INDEX(Données!$F$2:$L$54,MATCH(F231,Données!$F$2:$F$54,0),2)</f>
        <v>44088</v>
      </c>
      <c r="D231" s="29" t="str">
        <f t="shared" si="6"/>
        <v>#4</v>
      </c>
      <c r="E231" s="7">
        <f>Données!H39</f>
        <v>44089</v>
      </c>
      <c r="F231" s="6" t="str">
        <f>INDEX(Données!$F$2:$L$54,MATCH('#4'!E231,Données!$G$2:$G$54,1),1)</f>
        <v>38</v>
      </c>
      <c r="G231" s="18" t="str">
        <f t="shared" si="7"/>
        <v>PS-4</v>
      </c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1"/>
      <c r="W231" s="75"/>
      <c r="X231" s="75"/>
      <c r="Y231" s="75"/>
      <c r="Z231" s="96">
        <f>SUM(Tableau15[[#This Row],[A-1]:[G-5]])</f>
        <v>0</v>
      </c>
      <c r="AA231" s="96" t="str">
        <f>IF(AND(Z231&gt;0,Tableau15[[#This Row],[CDS]]=""),"Oui","Non")</f>
        <v>Non</v>
      </c>
      <c r="AB231" s="75"/>
      <c r="AC231" s="75"/>
      <c r="AD231" s="75"/>
      <c r="AE231" s="75"/>
      <c r="AF231" s="75"/>
      <c r="AG231" s="75"/>
      <c r="AH231" s="75"/>
      <c r="AI231" s="75"/>
      <c r="AJ231" s="81"/>
      <c r="AK231" s="75"/>
      <c r="AL231" s="75"/>
    </row>
    <row r="232" spans="1:38" ht="15.75" hidden="1" thickBot="1" x14ac:dyDescent="0.3">
      <c r="A232" s="75"/>
      <c r="B232" s="75"/>
      <c r="C232" s="35">
        <f>INDEX(Données!$F$2:$L$54,MATCH(F232,Données!$F$2:$F$54,0),2)</f>
        <v>44088</v>
      </c>
      <c r="D232" s="29" t="str">
        <f t="shared" si="6"/>
        <v>#4</v>
      </c>
      <c r="E232" s="7">
        <f>Données!I39</f>
        <v>44090</v>
      </c>
      <c r="F232" s="6" t="str">
        <f>INDEX(Données!$F$2:$L$54,MATCH('#4'!E232,Données!$G$2:$G$54,1),1)</f>
        <v>38</v>
      </c>
      <c r="G232" s="18" t="str">
        <f t="shared" si="7"/>
        <v>PS-4</v>
      </c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1"/>
      <c r="W232" s="75"/>
      <c r="X232" s="75"/>
      <c r="Y232" s="75"/>
      <c r="Z232" s="96">
        <f>SUM(Tableau15[[#This Row],[A-1]:[G-5]])</f>
        <v>0</v>
      </c>
      <c r="AA232" s="96" t="str">
        <f>IF(AND(Z232&gt;0,Tableau15[[#This Row],[CDS]]=""),"Oui","Non")</f>
        <v>Non</v>
      </c>
      <c r="AB232" s="75"/>
      <c r="AC232" s="75"/>
      <c r="AD232" s="75"/>
      <c r="AE232" s="75"/>
      <c r="AF232" s="75"/>
      <c r="AG232" s="75"/>
      <c r="AH232" s="75"/>
      <c r="AI232" s="75"/>
      <c r="AJ232" s="81"/>
      <c r="AK232" s="75"/>
      <c r="AL232" s="75"/>
    </row>
    <row r="233" spans="1:38" ht="15.75" hidden="1" thickBot="1" x14ac:dyDescent="0.3">
      <c r="A233" s="75"/>
      <c r="B233" s="75"/>
      <c r="C233" s="35">
        <f>INDEX(Données!$F$2:$L$54,MATCH(F233,Données!$F$2:$F$54,0),2)</f>
        <v>44088</v>
      </c>
      <c r="D233" s="29" t="str">
        <f t="shared" si="6"/>
        <v>#4</v>
      </c>
      <c r="E233" s="7">
        <f>Données!J39</f>
        <v>44091</v>
      </c>
      <c r="F233" s="6" t="str">
        <f>INDEX(Données!$F$2:$L$54,MATCH('#4'!E233,Données!$G$2:$G$54,1),1)</f>
        <v>38</v>
      </c>
      <c r="G233" s="18" t="str">
        <f t="shared" si="7"/>
        <v>PS-4</v>
      </c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1"/>
      <c r="W233" s="75"/>
      <c r="X233" s="75"/>
      <c r="Y233" s="75"/>
      <c r="Z233" s="96">
        <f>SUM(Tableau15[[#This Row],[A-1]:[G-5]])</f>
        <v>0</v>
      </c>
      <c r="AA233" s="96" t="str">
        <f>IF(AND(Z233&gt;0,Tableau15[[#This Row],[CDS]]=""),"Oui","Non")</f>
        <v>Non</v>
      </c>
      <c r="AB233" s="75"/>
      <c r="AC233" s="75"/>
      <c r="AD233" s="75"/>
      <c r="AE233" s="75"/>
      <c r="AF233" s="75"/>
      <c r="AG233" s="75"/>
      <c r="AH233" s="75"/>
      <c r="AI233" s="75"/>
      <c r="AJ233" s="81"/>
      <c r="AK233" s="75"/>
      <c r="AL233" s="75"/>
    </row>
    <row r="234" spans="1:38" ht="15.75" hidden="1" thickBot="1" x14ac:dyDescent="0.3">
      <c r="A234" s="75"/>
      <c r="B234" s="75"/>
      <c r="C234" s="35">
        <f>INDEX(Données!$F$2:$L$54,MATCH(F234,Données!$F$2:$F$54,0),2)</f>
        <v>44088</v>
      </c>
      <c r="D234" s="29" t="str">
        <f t="shared" si="6"/>
        <v>#4</v>
      </c>
      <c r="E234" s="7">
        <f>Données!K39</f>
        <v>44092</v>
      </c>
      <c r="F234" s="6" t="str">
        <f>INDEX(Données!$F$2:$L$54,MATCH('#4'!E234,Données!$G$2:$G$54,1),1)</f>
        <v>38</v>
      </c>
      <c r="G234" s="18" t="str">
        <f t="shared" si="7"/>
        <v>PS-4</v>
      </c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1"/>
      <c r="W234" s="75"/>
      <c r="X234" s="75"/>
      <c r="Y234" s="75"/>
      <c r="Z234" s="96">
        <f>SUM(Tableau15[[#This Row],[A-1]:[G-5]])</f>
        <v>0</v>
      </c>
      <c r="AA234" s="96" t="str">
        <f>IF(AND(Z234&gt;0,Tableau15[[#This Row],[CDS]]=""),"Oui","Non")</f>
        <v>Non</v>
      </c>
      <c r="AB234" s="75"/>
      <c r="AC234" s="75"/>
      <c r="AD234" s="75"/>
      <c r="AE234" s="75"/>
      <c r="AF234" s="75"/>
      <c r="AG234" s="75"/>
      <c r="AH234" s="75"/>
      <c r="AI234" s="75"/>
      <c r="AJ234" s="81"/>
      <c r="AK234" s="75"/>
      <c r="AL234" s="75"/>
    </row>
    <row r="235" spans="1:38" ht="15.75" hidden="1" thickBot="1" x14ac:dyDescent="0.3">
      <c r="A235" s="75"/>
      <c r="B235" s="75"/>
      <c r="C235" s="35">
        <f>INDEX(Données!$F$2:$L$54,MATCH(F235,Données!$F$2:$F$54,0),2)</f>
        <v>44088</v>
      </c>
      <c r="D235" s="29" t="str">
        <f t="shared" si="6"/>
        <v>#4</v>
      </c>
      <c r="E235" s="7">
        <f>Données!L39</f>
        <v>44093</v>
      </c>
      <c r="F235" s="6" t="str">
        <f>INDEX(Données!$F$2:$L$54,MATCH('#4'!E235,Données!$G$2:$G$54,1),1)</f>
        <v>38</v>
      </c>
      <c r="G235" s="18" t="str">
        <f t="shared" si="7"/>
        <v>PS-4</v>
      </c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1"/>
      <c r="W235" s="75"/>
      <c r="X235" s="75"/>
      <c r="Y235" s="75"/>
      <c r="Z235" s="96">
        <f>SUM(Tableau15[[#This Row],[A-1]:[G-5]])</f>
        <v>0</v>
      </c>
      <c r="AA235" s="96" t="str">
        <f>IF(AND(Z235&gt;0,Tableau15[[#This Row],[CDS]]=""),"Oui","Non")</f>
        <v>Non</v>
      </c>
      <c r="AB235" s="75"/>
      <c r="AC235" s="75"/>
      <c r="AD235" s="75"/>
      <c r="AE235" s="75"/>
      <c r="AF235" s="75"/>
      <c r="AG235" s="75"/>
      <c r="AH235" s="75"/>
      <c r="AI235" s="75"/>
      <c r="AJ235" s="81"/>
      <c r="AK235" s="75"/>
      <c r="AL235" s="75"/>
    </row>
    <row r="236" spans="1:38" ht="15.75" hidden="1" thickBot="1" x14ac:dyDescent="0.3">
      <c r="A236" s="75"/>
      <c r="B236" s="75"/>
      <c r="C236" s="35">
        <f>INDEX(Données!$F$2:$L$54,MATCH(F236,Données!$F$2:$F$54,0),2)</f>
        <v>44095</v>
      </c>
      <c r="D236" s="29" t="str">
        <f t="shared" si="6"/>
        <v>#4</v>
      </c>
      <c r="E236" s="7">
        <f>Données!G40</f>
        <v>44095</v>
      </c>
      <c r="F236" s="6" t="str">
        <f>INDEX(Données!$F$2:$L$54,MATCH('#4'!E236,Données!$G$2:$G$54,1),1)</f>
        <v>39</v>
      </c>
      <c r="G236" s="18" t="str">
        <f t="shared" si="7"/>
        <v>PS-4</v>
      </c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1"/>
      <c r="W236" s="75"/>
      <c r="X236" s="75"/>
      <c r="Y236" s="75"/>
      <c r="Z236" s="96">
        <f>SUM(Tableau15[[#This Row],[A-1]:[G-5]])</f>
        <v>0</v>
      </c>
      <c r="AA236" s="96" t="str">
        <f>IF(AND(Z236&gt;0,Tableau15[[#This Row],[CDS]]=""),"Oui","Non")</f>
        <v>Non</v>
      </c>
      <c r="AB236" s="75"/>
      <c r="AC236" s="75"/>
      <c r="AD236" s="75"/>
      <c r="AE236" s="75"/>
      <c r="AF236" s="75"/>
      <c r="AG236" s="75"/>
      <c r="AH236" s="75"/>
      <c r="AI236" s="75"/>
      <c r="AJ236" s="81"/>
      <c r="AK236" s="75"/>
      <c r="AL236" s="75"/>
    </row>
    <row r="237" spans="1:38" ht="15.75" hidden="1" thickBot="1" x14ac:dyDescent="0.3">
      <c r="A237" s="75"/>
      <c r="B237" s="75"/>
      <c r="C237" s="35">
        <f>INDEX(Données!$F$2:$L$54,MATCH(F237,Données!$F$2:$F$54,0),2)</f>
        <v>44095</v>
      </c>
      <c r="D237" s="29" t="str">
        <f t="shared" si="6"/>
        <v>#4</v>
      </c>
      <c r="E237" s="7">
        <f>Données!H40</f>
        <v>44096</v>
      </c>
      <c r="F237" s="6" t="str">
        <f>INDEX(Données!$F$2:$L$54,MATCH('#4'!E237,Données!$G$2:$G$54,1),1)</f>
        <v>39</v>
      </c>
      <c r="G237" s="18" t="str">
        <f t="shared" si="7"/>
        <v>PS-4</v>
      </c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1"/>
      <c r="W237" s="75"/>
      <c r="X237" s="75"/>
      <c r="Y237" s="75"/>
      <c r="Z237" s="96">
        <f>SUM(Tableau15[[#This Row],[A-1]:[G-5]])</f>
        <v>0</v>
      </c>
      <c r="AA237" s="96" t="str">
        <f>IF(AND(Z237&gt;0,Tableau15[[#This Row],[CDS]]=""),"Oui","Non")</f>
        <v>Non</v>
      </c>
      <c r="AB237" s="75"/>
      <c r="AC237" s="75"/>
      <c r="AD237" s="75"/>
      <c r="AE237" s="75"/>
      <c r="AF237" s="75"/>
      <c r="AG237" s="75"/>
      <c r="AH237" s="75"/>
      <c r="AI237" s="75"/>
      <c r="AJ237" s="81"/>
      <c r="AK237" s="75"/>
      <c r="AL237" s="75"/>
    </row>
    <row r="238" spans="1:38" ht="15.75" hidden="1" thickBot="1" x14ac:dyDescent="0.3">
      <c r="A238" s="75"/>
      <c r="B238" s="75"/>
      <c r="C238" s="35">
        <f>INDEX(Données!$F$2:$L$54,MATCH(F238,Données!$F$2:$F$54,0),2)</f>
        <v>44095</v>
      </c>
      <c r="D238" s="29" t="str">
        <f t="shared" si="6"/>
        <v>#4</v>
      </c>
      <c r="E238" s="7">
        <f>Données!I40</f>
        <v>44097</v>
      </c>
      <c r="F238" s="6" t="str">
        <f>INDEX(Données!$F$2:$L$54,MATCH('#4'!E238,Données!$G$2:$G$54,1),1)</f>
        <v>39</v>
      </c>
      <c r="G238" s="18" t="str">
        <f t="shared" si="7"/>
        <v>PS-4</v>
      </c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1"/>
      <c r="W238" s="75"/>
      <c r="X238" s="75"/>
      <c r="Y238" s="75"/>
      <c r="Z238" s="96">
        <f>SUM(Tableau15[[#This Row],[A-1]:[G-5]])</f>
        <v>0</v>
      </c>
      <c r="AA238" s="96" t="str">
        <f>IF(AND(Z238&gt;0,Tableau15[[#This Row],[CDS]]=""),"Oui","Non")</f>
        <v>Non</v>
      </c>
      <c r="AB238" s="75"/>
      <c r="AC238" s="75"/>
      <c r="AD238" s="75"/>
      <c r="AE238" s="75"/>
      <c r="AF238" s="75"/>
      <c r="AG238" s="75"/>
      <c r="AH238" s="75"/>
      <c r="AI238" s="75"/>
      <c r="AJ238" s="81"/>
      <c r="AK238" s="75"/>
      <c r="AL238" s="75"/>
    </row>
    <row r="239" spans="1:38" ht="15.75" hidden="1" thickBot="1" x14ac:dyDescent="0.3">
      <c r="A239" s="75"/>
      <c r="B239" s="75"/>
      <c r="C239" s="35">
        <f>INDEX(Données!$F$2:$L$54,MATCH(F239,Données!$F$2:$F$54,0),2)</f>
        <v>44095</v>
      </c>
      <c r="D239" s="29" t="str">
        <f t="shared" si="6"/>
        <v>#4</v>
      </c>
      <c r="E239" s="7">
        <f>Données!J40</f>
        <v>44098</v>
      </c>
      <c r="F239" s="6" t="str">
        <f>INDEX(Données!$F$2:$L$54,MATCH('#4'!E239,Données!$G$2:$G$54,1),1)</f>
        <v>39</v>
      </c>
      <c r="G239" s="18" t="str">
        <f t="shared" si="7"/>
        <v>PS-4</v>
      </c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1"/>
      <c r="W239" s="75"/>
      <c r="X239" s="75"/>
      <c r="Y239" s="75"/>
      <c r="Z239" s="96">
        <f>SUM(Tableau15[[#This Row],[A-1]:[G-5]])</f>
        <v>0</v>
      </c>
      <c r="AA239" s="96" t="str">
        <f>IF(AND(Z239&gt;0,Tableau15[[#This Row],[CDS]]=""),"Oui","Non")</f>
        <v>Non</v>
      </c>
      <c r="AB239" s="75"/>
      <c r="AC239" s="75"/>
      <c r="AD239" s="75"/>
      <c r="AE239" s="75"/>
      <c r="AF239" s="75"/>
      <c r="AG239" s="75"/>
      <c r="AH239" s="75"/>
      <c r="AI239" s="75"/>
      <c r="AJ239" s="81"/>
      <c r="AK239" s="75"/>
      <c r="AL239" s="75"/>
    </row>
    <row r="240" spans="1:38" ht="15.75" hidden="1" thickBot="1" x14ac:dyDescent="0.3">
      <c r="A240" s="75"/>
      <c r="B240" s="75"/>
      <c r="C240" s="35">
        <f>INDEX(Données!$F$2:$L$54,MATCH(F240,Données!$F$2:$F$54,0),2)</f>
        <v>44095</v>
      </c>
      <c r="D240" s="29" t="str">
        <f t="shared" si="6"/>
        <v>#4</v>
      </c>
      <c r="E240" s="7">
        <f>Données!K40</f>
        <v>44099</v>
      </c>
      <c r="F240" s="6" t="str">
        <f>INDEX(Données!$F$2:$L$54,MATCH('#4'!E240,Données!$G$2:$G$54,1),1)</f>
        <v>39</v>
      </c>
      <c r="G240" s="18" t="str">
        <f t="shared" si="7"/>
        <v>PS-4</v>
      </c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1"/>
      <c r="W240" s="75"/>
      <c r="X240" s="75"/>
      <c r="Y240" s="75"/>
      <c r="Z240" s="96">
        <f>SUM(Tableau15[[#This Row],[A-1]:[G-5]])</f>
        <v>0</v>
      </c>
      <c r="AA240" s="96" t="str">
        <f>IF(AND(Z240&gt;0,Tableau15[[#This Row],[CDS]]=""),"Oui","Non")</f>
        <v>Non</v>
      </c>
      <c r="AB240" s="75"/>
      <c r="AC240" s="75"/>
      <c r="AD240" s="75"/>
      <c r="AE240" s="75"/>
      <c r="AF240" s="75"/>
      <c r="AG240" s="75"/>
      <c r="AH240" s="75"/>
      <c r="AI240" s="75"/>
      <c r="AJ240" s="81"/>
      <c r="AK240" s="75"/>
      <c r="AL240" s="75"/>
    </row>
    <row r="241" spans="1:38" ht="15.75" hidden="1" thickBot="1" x14ac:dyDescent="0.3">
      <c r="A241" s="75"/>
      <c r="B241" s="75"/>
      <c r="C241" s="35">
        <f>INDEX(Données!$F$2:$L$54,MATCH(F241,Données!$F$2:$F$54,0),2)</f>
        <v>44095</v>
      </c>
      <c r="D241" s="29" t="str">
        <f t="shared" si="6"/>
        <v>#4</v>
      </c>
      <c r="E241" s="7">
        <f>Données!L40</f>
        <v>44100</v>
      </c>
      <c r="F241" s="6" t="str">
        <f>INDEX(Données!$F$2:$L$54,MATCH('#4'!E241,Données!$G$2:$G$54,1),1)</f>
        <v>39</v>
      </c>
      <c r="G241" s="18" t="str">
        <f t="shared" si="7"/>
        <v>PS-4</v>
      </c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1"/>
      <c r="W241" s="75"/>
      <c r="X241" s="75"/>
      <c r="Y241" s="75"/>
      <c r="Z241" s="96">
        <f>SUM(Tableau15[[#This Row],[A-1]:[G-5]])</f>
        <v>0</v>
      </c>
      <c r="AA241" s="96" t="str">
        <f>IF(AND(Z241&gt;0,Tableau15[[#This Row],[CDS]]=""),"Oui","Non")</f>
        <v>Non</v>
      </c>
      <c r="AB241" s="75"/>
      <c r="AC241" s="75"/>
      <c r="AD241" s="75"/>
      <c r="AE241" s="75"/>
      <c r="AF241" s="75"/>
      <c r="AG241" s="75"/>
      <c r="AH241" s="75"/>
      <c r="AI241" s="75"/>
      <c r="AJ241" s="81"/>
      <c r="AK241" s="75"/>
      <c r="AL241" s="75"/>
    </row>
    <row r="242" spans="1:38" ht="15.75" hidden="1" thickBot="1" x14ac:dyDescent="0.3">
      <c r="A242" s="75"/>
      <c r="B242" s="75"/>
      <c r="C242" s="35">
        <f>INDEX(Données!$F$2:$L$54,MATCH(F242,Données!$F$2:$F$54,0),2)</f>
        <v>44102</v>
      </c>
      <c r="D242" s="29" t="str">
        <f t="shared" si="6"/>
        <v>#4</v>
      </c>
      <c r="E242" s="7">
        <f>Données!G41</f>
        <v>44102</v>
      </c>
      <c r="F242" s="6" t="str">
        <f>INDEX(Données!$F$2:$L$54,MATCH('#4'!E242,Données!$G$2:$G$54,1),1)</f>
        <v>40</v>
      </c>
      <c r="G242" s="18" t="str">
        <f t="shared" si="7"/>
        <v>PS-4</v>
      </c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1"/>
      <c r="W242" s="75"/>
      <c r="X242" s="75"/>
      <c r="Y242" s="75"/>
      <c r="Z242" s="96">
        <f>SUM(Tableau15[[#This Row],[A-1]:[G-5]])</f>
        <v>0</v>
      </c>
      <c r="AA242" s="96" t="str">
        <f>IF(AND(Z242&gt;0,Tableau15[[#This Row],[CDS]]=""),"Oui","Non")</f>
        <v>Non</v>
      </c>
      <c r="AB242" s="75"/>
      <c r="AC242" s="75"/>
      <c r="AD242" s="75"/>
      <c r="AE242" s="75"/>
      <c r="AF242" s="75"/>
      <c r="AG242" s="75"/>
      <c r="AH242" s="75"/>
      <c r="AI242" s="75"/>
      <c r="AJ242" s="81"/>
      <c r="AK242" s="75"/>
      <c r="AL242" s="75"/>
    </row>
    <row r="243" spans="1:38" ht="15.75" hidden="1" thickBot="1" x14ac:dyDescent="0.3">
      <c r="A243" s="75"/>
      <c r="B243" s="75"/>
      <c r="C243" s="35">
        <f>INDEX(Données!$F$2:$L$54,MATCH(F243,Données!$F$2:$F$54,0),2)</f>
        <v>44102</v>
      </c>
      <c r="D243" s="29" t="str">
        <f t="shared" si="6"/>
        <v>#4</v>
      </c>
      <c r="E243" s="7">
        <f>Données!H41</f>
        <v>44103</v>
      </c>
      <c r="F243" s="6" t="str">
        <f>INDEX(Données!$F$2:$L$54,MATCH('#4'!E243,Données!$G$2:$G$54,1),1)</f>
        <v>40</v>
      </c>
      <c r="G243" s="18" t="str">
        <f t="shared" si="7"/>
        <v>PS-4</v>
      </c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1"/>
      <c r="W243" s="75"/>
      <c r="X243" s="75"/>
      <c r="Y243" s="75"/>
      <c r="Z243" s="96">
        <f>SUM(Tableau15[[#This Row],[A-1]:[G-5]])</f>
        <v>0</v>
      </c>
      <c r="AA243" s="96" t="str">
        <f>IF(AND(Z243&gt;0,Tableau15[[#This Row],[CDS]]=""),"Oui","Non")</f>
        <v>Non</v>
      </c>
      <c r="AB243" s="75"/>
      <c r="AC243" s="75"/>
      <c r="AD243" s="75"/>
      <c r="AE243" s="75"/>
      <c r="AF243" s="75"/>
      <c r="AG243" s="75"/>
      <c r="AH243" s="75"/>
      <c r="AI243" s="75"/>
      <c r="AJ243" s="81"/>
      <c r="AK243" s="75"/>
      <c r="AL243" s="75"/>
    </row>
    <row r="244" spans="1:38" ht="15.75" hidden="1" thickBot="1" x14ac:dyDescent="0.3">
      <c r="A244" s="75"/>
      <c r="B244" s="75"/>
      <c r="C244" s="35">
        <f>INDEX(Données!$F$2:$L$54,MATCH(F244,Données!$F$2:$F$54,0),2)</f>
        <v>44102</v>
      </c>
      <c r="D244" s="29" t="str">
        <f t="shared" si="6"/>
        <v>#4</v>
      </c>
      <c r="E244" s="7">
        <f>Données!I41</f>
        <v>44104</v>
      </c>
      <c r="F244" s="6" t="str">
        <f>INDEX(Données!$F$2:$L$54,MATCH('#4'!E244,Données!$G$2:$G$54,1),1)</f>
        <v>40</v>
      </c>
      <c r="G244" s="18" t="str">
        <f t="shared" si="7"/>
        <v>PS-4</v>
      </c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1"/>
      <c r="W244" s="75"/>
      <c r="X244" s="75"/>
      <c r="Y244" s="75"/>
      <c r="Z244" s="96">
        <f>SUM(Tableau15[[#This Row],[A-1]:[G-5]])</f>
        <v>0</v>
      </c>
      <c r="AA244" s="96" t="str">
        <f>IF(AND(Z244&gt;0,Tableau15[[#This Row],[CDS]]=""),"Oui","Non")</f>
        <v>Non</v>
      </c>
      <c r="AB244" s="75"/>
      <c r="AC244" s="75"/>
      <c r="AD244" s="75"/>
      <c r="AE244" s="75"/>
      <c r="AF244" s="75"/>
      <c r="AG244" s="75"/>
      <c r="AH244" s="75"/>
      <c r="AI244" s="75"/>
      <c r="AJ244" s="81"/>
      <c r="AK244" s="75"/>
      <c r="AL244" s="75"/>
    </row>
    <row r="245" spans="1:38" ht="15.75" hidden="1" thickBot="1" x14ac:dyDescent="0.3">
      <c r="A245" s="75"/>
      <c r="B245" s="75"/>
      <c r="C245" s="35">
        <f>INDEX(Données!$F$2:$L$54,MATCH(F245,Données!$F$2:$F$54,0),2)</f>
        <v>44102</v>
      </c>
      <c r="D245" s="29" t="str">
        <f t="shared" si="6"/>
        <v>#4</v>
      </c>
      <c r="E245" s="7">
        <f>Données!J41</f>
        <v>44105</v>
      </c>
      <c r="F245" s="6" t="str">
        <f>INDEX(Données!$F$2:$L$54,MATCH('#4'!E245,Données!$G$2:$G$54,1),1)</f>
        <v>40</v>
      </c>
      <c r="G245" s="18" t="str">
        <f t="shared" si="7"/>
        <v>PS-4</v>
      </c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1"/>
      <c r="W245" s="75"/>
      <c r="X245" s="75"/>
      <c r="Y245" s="75"/>
      <c r="Z245" s="96">
        <f>SUM(Tableau15[[#This Row],[A-1]:[G-5]])</f>
        <v>0</v>
      </c>
      <c r="AA245" s="96" t="str">
        <f>IF(AND(Z245&gt;0,Tableau15[[#This Row],[CDS]]=""),"Oui","Non")</f>
        <v>Non</v>
      </c>
      <c r="AB245" s="75"/>
      <c r="AC245" s="75"/>
      <c r="AD245" s="75"/>
      <c r="AE245" s="75"/>
      <c r="AF245" s="75"/>
      <c r="AG245" s="75"/>
      <c r="AH245" s="75"/>
      <c r="AI245" s="75"/>
      <c r="AJ245" s="81"/>
      <c r="AK245" s="75"/>
      <c r="AL245" s="75"/>
    </row>
    <row r="246" spans="1:38" ht="15.75" hidden="1" thickBot="1" x14ac:dyDescent="0.3">
      <c r="A246" s="75"/>
      <c r="B246" s="75"/>
      <c r="C246" s="35">
        <f>INDEX(Données!$F$2:$L$54,MATCH(F246,Données!$F$2:$F$54,0),2)</f>
        <v>44102</v>
      </c>
      <c r="D246" s="29" t="str">
        <f t="shared" si="6"/>
        <v>#4</v>
      </c>
      <c r="E246" s="7">
        <f>Données!K41</f>
        <v>44106</v>
      </c>
      <c r="F246" s="6" t="str">
        <f>INDEX(Données!$F$2:$L$54,MATCH('#4'!E246,Données!$G$2:$G$54,1),1)</f>
        <v>40</v>
      </c>
      <c r="G246" s="18" t="str">
        <f t="shared" si="7"/>
        <v>PS-4</v>
      </c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1"/>
      <c r="W246" s="75"/>
      <c r="X246" s="75"/>
      <c r="Y246" s="75"/>
      <c r="Z246" s="96">
        <f>SUM(Tableau15[[#This Row],[A-1]:[G-5]])</f>
        <v>0</v>
      </c>
      <c r="AA246" s="96" t="str">
        <f>IF(AND(Z246&gt;0,Tableau15[[#This Row],[CDS]]=""),"Oui","Non")</f>
        <v>Non</v>
      </c>
      <c r="AB246" s="75"/>
      <c r="AC246" s="75"/>
      <c r="AD246" s="75"/>
      <c r="AE246" s="75"/>
      <c r="AF246" s="75"/>
      <c r="AG246" s="75"/>
      <c r="AH246" s="75"/>
      <c r="AI246" s="75"/>
      <c r="AJ246" s="81"/>
      <c r="AK246" s="75"/>
      <c r="AL246" s="75"/>
    </row>
    <row r="247" spans="1:38" ht="15.75" hidden="1" thickBot="1" x14ac:dyDescent="0.3">
      <c r="A247" s="75"/>
      <c r="B247" s="75"/>
      <c r="C247" s="35">
        <f>INDEX(Données!$F$2:$L$54,MATCH(F247,Données!$F$2:$F$54,0),2)</f>
        <v>44102</v>
      </c>
      <c r="D247" s="29" t="str">
        <f t="shared" si="6"/>
        <v>#4</v>
      </c>
      <c r="E247" s="7">
        <f>Données!L41</f>
        <v>44107</v>
      </c>
      <c r="F247" s="6" t="str">
        <f>INDEX(Données!$F$2:$L$54,MATCH('#4'!E247,Données!$G$2:$G$54,1),1)</f>
        <v>40</v>
      </c>
      <c r="G247" s="18" t="str">
        <f t="shared" si="7"/>
        <v>PS-4</v>
      </c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1"/>
      <c r="W247" s="75"/>
      <c r="X247" s="75"/>
      <c r="Y247" s="75"/>
      <c r="Z247" s="96">
        <f>SUM(Tableau15[[#This Row],[A-1]:[G-5]])</f>
        <v>0</v>
      </c>
      <c r="AA247" s="96" t="str">
        <f>IF(AND(Z247&gt;0,Tableau15[[#This Row],[CDS]]=""),"Oui","Non")</f>
        <v>Non</v>
      </c>
      <c r="AB247" s="75"/>
      <c r="AC247" s="75"/>
      <c r="AD247" s="75"/>
      <c r="AE247" s="75"/>
      <c r="AF247" s="75"/>
      <c r="AG247" s="75"/>
      <c r="AH247" s="75"/>
      <c r="AI247" s="75"/>
      <c r="AJ247" s="81"/>
      <c r="AK247" s="75"/>
      <c r="AL247" s="75"/>
    </row>
    <row r="248" spans="1:38" ht="15.75" hidden="1" thickBot="1" x14ac:dyDescent="0.3">
      <c r="A248" s="75"/>
      <c r="B248" s="75"/>
      <c r="C248" s="35">
        <f>INDEX(Données!$F$2:$L$54,MATCH(F248,Données!$F$2:$F$54,0),2)</f>
        <v>44109</v>
      </c>
      <c r="D248" s="29" t="str">
        <f t="shared" si="6"/>
        <v>#4</v>
      </c>
      <c r="E248" s="7">
        <f>Données!G42</f>
        <v>44109</v>
      </c>
      <c r="F248" s="6" t="str">
        <f>INDEX(Données!$F$2:$L$54,MATCH('#4'!E248,Données!$G$2:$G$54,1),1)</f>
        <v>41</v>
      </c>
      <c r="G248" s="18" t="str">
        <f t="shared" si="7"/>
        <v>PS-4</v>
      </c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1"/>
      <c r="W248" s="75"/>
      <c r="X248" s="75"/>
      <c r="Y248" s="75"/>
      <c r="Z248" s="96">
        <f>SUM(Tableau15[[#This Row],[A-1]:[G-5]])</f>
        <v>0</v>
      </c>
      <c r="AA248" s="96" t="str">
        <f>IF(AND(Z248&gt;0,Tableau15[[#This Row],[CDS]]=""),"Oui","Non")</f>
        <v>Non</v>
      </c>
      <c r="AB248" s="75"/>
      <c r="AC248" s="75"/>
      <c r="AD248" s="75"/>
      <c r="AE248" s="75"/>
      <c r="AF248" s="75"/>
      <c r="AG248" s="75"/>
      <c r="AH248" s="75"/>
      <c r="AI248" s="75"/>
      <c r="AJ248" s="81"/>
      <c r="AK248" s="75"/>
      <c r="AL248" s="75"/>
    </row>
    <row r="249" spans="1:38" ht="15.75" hidden="1" thickBot="1" x14ac:dyDescent="0.3">
      <c r="A249" s="75"/>
      <c r="B249" s="75"/>
      <c r="C249" s="35">
        <f>INDEX(Données!$F$2:$L$54,MATCH(F249,Données!$F$2:$F$54,0),2)</f>
        <v>44109</v>
      </c>
      <c r="D249" s="29" t="str">
        <f t="shared" si="6"/>
        <v>#4</v>
      </c>
      <c r="E249" s="7">
        <f>Données!H42</f>
        <v>44110</v>
      </c>
      <c r="F249" s="6" t="str">
        <f>INDEX(Données!$F$2:$L$54,MATCH('#4'!E249,Données!$G$2:$G$54,1),1)</f>
        <v>41</v>
      </c>
      <c r="G249" s="18" t="str">
        <f t="shared" si="7"/>
        <v>PS-4</v>
      </c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1"/>
      <c r="W249" s="75"/>
      <c r="X249" s="75"/>
      <c r="Y249" s="75"/>
      <c r="Z249" s="96">
        <f>SUM(Tableau15[[#This Row],[A-1]:[G-5]])</f>
        <v>0</v>
      </c>
      <c r="AA249" s="96" t="str">
        <f>IF(AND(Z249&gt;0,Tableau15[[#This Row],[CDS]]=""),"Oui","Non")</f>
        <v>Non</v>
      </c>
      <c r="AB249" s="75"/>
      <c r="AC249" s="75"/>
      <c r="AD249" s="75"/>
      <c r="AE249" s="75"/>
      <c r="AF249" s="75"/>
      <c r="AG249" s="75"/>
      <c r="AH249" s="75"/>
      <c r="AI249" s="75"/>
      <c r="AJ249" s="81"/>
      <c r="AK249" s="75"/>
      <c r="AL249" s="75"/>
    </row>
    <row r="250" spans="1:38" ht="15.75" hidden="1" thickBot="1" x14ac:dyDescent="0.3">
      <c r="A250" s="75"/>
      <c r="B250" s="75"/>
      <c r="C250" s="35">
        <f>INDEX(Données!$F$2:$L$54,MATCH(F250,Données!$F$2:$F$54,0),2)</f>
        <v>44109</v>
      </c>
      <c r="D250" s="29" t="str">
        <f t="shared" si="6"/>
        <v>#4</v>
      </c>
      <c r="E250" s="7">
        <f>Données!I42</f>
        <v>44111</v>
      </c>
      <c r="F250" s="6" t="str">
        <f>INDEX(Données!$F$2:$L$54,MATCH('#4'!E250,Données!$G$2:$G$54,1),1)</f>
        <v>41</v>
      </c>
      <c r="G250" s="18" t="str">
        <f t="shared" si="7"/>
        <v>PS-4</v>
      </c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1"/>
      <c r="W250" s="75"/>
      <c r="X250" s="75"/>
      <c r="Y250" s="75"/>
      <c r="Z250" s="96">
        <f>SUM(Tableau15[[#This Row],[A-1]:[G-5]])</f>
        <v>0</v>
      </c>
      <c r="AA250" s="96" t="str">
        <f>IF(AND(Z250&gt;0,Tableau15[[#This Row],[CDS]]=""),"Oui","Non")</f>
        <v>Non</v>
      </c>
      <c r="AB250" s="75"/>
      <c r="AC250" s="75"/>
      <c r="AD250" s="75"/>
      <c r="AE250" s="75"/>
      <c r="AF250" s="75"/>
      <c r="AG250" s="75"/>
      <c r="AH250" s="75"/>
      <c r="AI250" s="75"/>
      <c r="AJ250" s="81"/>
      <c r="AK250" s="75"/>
      <c r="AL250" s="75"/>
    </row>
    <row r="251" spans="1:38" ht="15.75" hidden="1" thickBot="1" x14ac:dyDescent="0.3">
      <c r="A251" s="75"/>
      <c r="B251" s="75"/>
      <c r="C251" s="35">
        <f>INDEX(Données!$F$2:$L$54,MATCH(F251,Données!$F$2:$F$54,0),2)</f>
        <v>44109</v>
      </c>
      <c r="D251" s="29" t="str">
        <f t="shared" si="6"/>
        <v>#4</v>
      </c>
      <c r="E251" s="7">
        <f>Données!J42</f>
        <v>44112</v>
      </c>
      <c r="F251" s="6" t="str">
        <f>INDEX(Données!$F$2:$L$54,MATCH('#4'!E251,Données!$G$2:$G$54,1),1)</f>
        <v>41</v>
      </c>
      <c r="G251" s="18" t="str">
        <f t="shared" si="7"/>
        <v>PS-4</v>
      </c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1"/>
      <c r="W251" s="75"/>
      <c r="X251" s="75"/>
      <c r="Y251" s="75"/>
      <c r="Z251" s="96">
        <f>SUM(Tableau15[[#This Row],[A-1]:[G-5]])</f>
        <v>0</v>
      </c>
      <c r="AA251" s="96" t="str">
        <f>IF(AND(Z251&gt;0,Tableau15[[#This Row],[CDS]]=""),"Oui","Non")</f>
        <v>Non</v>
      </c>
      <c r="AB251" s="75"/>
      <c r="AC251" s="75"/>
      <c r="AD251" s="75"/>
      <c r="AE251" s="75"/>
      <c r="AF251" s="75"/>
      <c r="AG251" s="75"/>
      <c r="AH251" s="75"/>
      <c r="AI251" s="75"/>
      <c r="AJ251" s="81"/>
      <c r="AK251" s="75"/>
      <c r="AL251" s="75"/>
    </row>
    <row r="252" spans="1:38" ht="15.75" hidden="1" thickBot="1" x14ac:dyDescent="0.3">
      <c r="A252" s="75"/>
      <c r="B252" s="75"/>
      <c r="C252" s="35">
        <f>INDEX(Données!$F$2:$L$54,MATCH(F252,Données!$F$2:$F$54,0),2)</f>
        <v>44109</v>
      </c>
      <c r="D252" s="29" t="str">
        <f t="shared" si="6"/>
        <v>#4</v>
      </c>
      <c r="E252" s="7">
        <f>Données!K42</f>
        <v>44113</v>
      </c>
      <c r="F252" s="6" t="str">
        <f>INDEX(Données!$F$2:$L$54,MATCH('#4'!E252,Données!$G$2:$G$54,1),1)</f>
        <v>41</v>
      </c>
      <c r="G252" s="18" t="str">
        <f t="shared" si="7"/>
        <v>PS-4</v>
      </c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1"/>
      <c r="W252" s="75"/>
      <c r="X252" s="75"/>
      <c r="Y252" s="75"/>
      <c r="Z252" s="96">
        <f>SUM(Tableau15[[#This Row],[A-1]:[G-5]])</f>
        <v>0</v>
      </c>
      <c r="AA252" s="96" t="str">
        <f>IF(AND(Z252&gt;0,Tableau15[[#This Row],[CDS]]=""),"Oui","Non")</f>
        <v>Non</v>
      </c>
      <c r="AB252" s="75"/>
      <c r="AC252" s="75"/>
      <c r="AD252" s="75"/>
      <c r="AE252" s="75"/>
      <c r="AF252" s="75"/>
      <c r="AG252" s="75"/>
      <c r="AH252" s="75"/>
      <c r="AI252" s="75"/>
      <c r="AJ252" s="81"/>
      <c r="AK252" s="75"/>
      <c r="AL252" s="75"/>
    </row>
    <row r="253" spans="1:38" ht="15.75" hidden="1" thickBot="1" x14ac:dyDescent="0.3">
      <c r="A253" s="75"/>
      <c r="B253" s="75"/>
      <c r="C253" s="35">
        <f>INDEX(Données!$F$2:$L$54,MATCH(F253,Données!$F$2:$F$54,0),2)</f>
        <v>44109</v>
      </c>
      <c r="D253" s="29" t="str">
        <f t="shared" si="6"/>
        <v>#4</v>
      </c>
      <c r="E253" s="7">
        <f>Données!L42</f>
        <v>44114</v>
      </c>
      <c r="F253" s="6" t="str">
        <f>INDEX(Données!$F$2:$L$54,MATCH('#4'!E253,Données!$G$2:$G$54,1),1)</f>
        <v>41</v>
      </c>
      <c r="G253" s="18" t="str">
        <f t="shared" si="7"/>
        <v>PS-4</v>
      </c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1"/>
      <c r="W253" s="75"/>
      <c r="X253" s="75"/>
      <c r="Y253" s="75"/>
      <c r="Z253" s="96">
        <f>SUM(Tableau15[[#This Row],[A-1]:[G-5]])</f>
        <v>0</v>
      </c>
      <c r="AA253" s="96" t="str">
        <f>IF(AND(Z253&gt;0,Tableau15[[#This Row],[CDS]]=""),"Oui","Non")</f>
        <v>Non</v>
      </c>
      <c r="AB253" s="75"/>
      <c r="AC253" s="75"/>
      <c r="AD253" s="75"/>
      <c r="AE253" s="75"/>
      <c r="AF253" s="75"/>
      <c r="AG253" s="75"/>
      <c r="AH253" s="75"/>
      <c r="AI253" s="75"/>
      <c r="AJ253" s="81"/>
      <c r="AK253" s="75"/>
      <c r="AL253" s="75"/>
    </row>
    <row r="254" spans="1:38" ht="15.75" hidden="1" thickBot="1" x14ac:dyDescent="0.3">
      <c r="A254" s="75"/>
      <c r="B254" s="75"/>
      <c r="C254" s="35">
        <f>INDEX(Données!$F$2:$L$54,MATCH(F254,Données!$F$2:$F$54,0),2)</f>
        <v>44116</v>
      </c>
      <c r="D254" s="29" t="str">
        <f t="shared" si="6"/>
        <v>#4</v>
      </c>
      <c r="E254" s="7">
        <f>Données!G43</f>
        <v>44116</v>
      </c>
      <c r="F254" s="6" t="str">
        <f>INDEX(Données!$F$2:$L$54,MATCH('#4'!E254,Données!$G$2:$G$54,1),1)</f>
        <v>42</v>
      </c>
      <c r="G254" s="18" t="str">
        <f t="shared" si="7"/>
        <v>PS-4</v>
      </c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1"/>
      <c r="W254" s="75"/>
      <c r="X254" s="75"/>
      <c r="Y254" s="75"/>
      <c r="Z254" s="96">
        <f>SUM(Tableau15[[#This Row],[A-1]:[G-5]])</f>
        <v>0</v>
      </c>
      <c r="AA254" s="96" t="str">
        <f>IF(AND(Z254&gt;0,Tableau15[[#This Row],[CDS]]=""),"Oui","Non")</f>
        <v>Non</v>
      </c>
      <c r="AB254" s="75"/>
      <c r="AC254" s="75"/>
      <c r="AD254" s="75"/>
      <c r="AE254" s="75"/>
      <c r="AF254" s="75"/>
      <c r="AG254" s="75"/>
      <c r="AH254" s="75"/>
      <c r="AI254" s="75"/>
      <c r="AJ254" s="81"/>
      <c r="AK254" s="75"/>
      <c r="AL254" s="75"/>
    </row>
    <row r="255" spans="1:38" ht="15.75" hidden="1" thickBot="1" x14ac:dyDescent="0.3">
      <c r="A255" s="75"/>
      <c r="B255" s="75"/>
      <c r="C255" s="35">
        <f>INDEX(Données!$F$2:$L$54,MATCH(F255,Données!$F$2:$F$54,0),2)</f>
        <v>44116</v>
      </c>
      <c r="D255" s="29" t="str">
        <f t="shared" si="6"/>
        <v>#4</v>
      </c>
      <c r="E255" s="7">
        <f>Données!H43</f>
        <v>44117</v>
      </c>
      <c r="F255" s="6" t="str">
        <f>INDEX(Données!$F$2:$L$54,MATCH('#4'!E255,Données!$G$2:$G$54,1),1)</f>
        <v>42</v>
      </c>
      <c r="G255" s="18" t="str">
        <f t="shared" si="7"/>
        <v>PS-4</v>
      </c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1"/>
      <c r="W255" s="75"/>
      <c r="X255" s="75"/>
      <c r="Y255" s="75"/>
      <c r="Z255" s="96">
        <f>SUM(Tableau15[[#This Row],[A-1]:[G-5]])</f>
        <v>0</v>
      </c>
      <c r="AA255" s="96" t="str">
        <f>IF(AND(Z255&gt;0,Tableau15[[#This Row],[CDS]]=""),"Oui","Non")</f>
        <v>Non</v>
      </c>
      <c r="AB255" s="75"/>
      <c r="AC255" s="75"/>
      <c r="AD255" s="75"/>
      <c r="AE255" s="75"/>
      <c r="AF255" s="75"/>
      <c r="AG255" s="75"/>
      <c r="AH255" s="75"/>
      <c r="AI255" s="75"/>
      <c r="AJ255" s="81"/>
      <c r="AK255" s="75"/>
      <c r="AL255" s="75"/>
    </row>
    <row r="256" spans="1:38" ht="15.75" hidden="1" thickBot="1" x14ac:dyDescent="0.3">
      <c r="A256" s="75"/>
      <c r="B256" s="75"/>
      <c r="C256" s="35">
        <f>INDEX(Données!$F$2:$L$54,MATCH(F256,Données!$F$2:$F$54,0),2)</f>
        <v>44116</v>
      </c>
      <c r="D256" s="29" t="str">
        <f t="shared" si="6"/>
        <v>#4</v>
      </c>
      <c r="E256" s="7">
        <f>Données!I43</f>
        <v>44118</v>
      </c>
      <c r="F256" s="6" t="str">
        <f>INDEX(Données!$F$2:$L$54,MATCH('#4'!E256,Données!$G$2:$G$54,1),1)</f>
        <v>42</v>
      </c>
      <c r="G256" s="18" t="str">
        <f t="shared" si="7"/>
        <v>PS-4</v>
      </c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1"/>
      <c r="W256" s="75"/>
      <c r="X256" s="75"/>
      <c r="Y256" s="75"/>
      <c r="Z256" s="96">
        <f>SUM(Tableau15[[#This Row],[A-1]:[G-5]])</f>
        <v>0</v>
      </c>
      <c r="AA256" s="96" t="str">
        <f>IF(AND(Z256&gt;0,Tableau15[[#This Row],[CDS]]=""),"Oui","Non")</f>
        <v>Non</v>
      </c>
      <c r="AB256" s="75"/>
      <c r="AC256" s="75"/>
      <c r="AD256" s="75"/>
      <c r="AE256" s="75"/>
      <c r="AF256" s="75"/>
      <c r="AG256" s="75"/>
      <c r="AH256" s="75"/>
      <c r="AI256" s="75"/>
      <c r="AJ256" s="81"/>
      <c r="AK256" s="75"/>
      <c r="AL256" s="75"/>
    </row>
    <row r="257" spans="1:38" ht="15.75" hidden="1" thickBot="1" x14ac:dyDescent="0.3">
      <c r="A257" s="75"/>
      <c r="B257" s="75"/>
      <c r="C257" s="35">
        <f>INDEX(Données!$F$2:$L$54,MATCH(F257,Données!$F$2:$F$54,0),2)</f>
        <v>44116</v>
      </c>
      <c r="D257" s="29" t="str">
        <f t="shared" si="6"/>
        <v>#4</v>
      </c>
      <c r="E257" s="7">
        <f>Données!J43</f>
        <v>44119</v>
      </c>
      <c r="F257" s="6" t="str">
        <f>INDEX(Données!$F$2:$L$54,MATCH('#4'!E257,Données!$G$2:$G$54,1),1)</f>
        <v>42</v>
      </c>
      <c r="G257" s="18" t="str">
        <f t="shared" si="7"/>
        <v>PS-4</v>
      </c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1"/>
      <c r="W257" s="75"/>
      <c r="X257" s="75"/>
      <c r="Y257" s="75"/>
      <c r="Z257" s="96">
        <f>SUM(Tableau15[[#This Row],[A-1]:[G-5]])</f>
        <v>0</v>
      </c>
      <c r="AA257" s="96" t="str">
        <f>IF(AND(Z257&gt;0,Tableau15[[#This Row],[CDS]]=""),"Oui","Non")</f>
        <v>Non</v>
      </c>
      <c r="AB257" s="75"/>
      <c r="AC257" s="75"/>
      <c r="AD257" s="75"/>
      <c r="AE257" s="75"/>
      <c r="AF257" s="75"/>
      <c r="AG257" s="75"/>
      <c r="AH257" s="75"/>
      <c r="AI257" s="75"/>
      <c r="AJ257" s="81"/>
      <c r="AK257" s="75"/>
      <c r="AL257" s="75"/>
    </row>
    <row r="258" spans="1:38" ht="15.75" hidden="1" thickBot="1" x14ac:dyDescent="0.3">
      <c r="A258" s="75"/>
      <c r="B258" s="75"/>
      <c r="C258" s="35">
        <f>INDEX(Données!$F$2:$L$54,MATCH(F258,Données!$F$2:$F$54,0),2)</f>
        <v>44116</v>
      </c>
      <c r="D258" s="29" t="str">
        <f t="shared" si="6"/>
        <v>#4</v>
      </c>
      <c r="E258" s="7">
        <f>Données!K43</f>
        <v>44120</v>
      </c>
      <c r="F258" s="6" t="str">
        <f>INDEX(Données!$F$2:$L$54,MATCH('#4'!E258,Données!$G$2:$G$54,1),1)</f>
        <v>42</v>
      </c>
      <c r="G258" s="18" t="str">
        <f t="shared" si="7"/>
        <v>PS-4</v>
      </c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1"/>
      <c r="W258" s="75"/>
      <c r="X258" s="75"/>
      <c r="Y258" s="75"/>
      <c r="Z258" s="96">
        <f>SUM(Tableau15[[#This Row],[A-1]:[G-5]])</f>
        <v>0</v>
      </c>
      <c r="AA258" s="96" t="str">
        <f>IF(AND(Z258&gt;0,Tableau15[[#This Row],[CDS]]=""),"Oui","Non")</f>
        <v>Non</v>
      </c>
      <c r="AB258" s="75"/>
      <c r="AC258" s="75"/>
      <c r="AD258" s="75"/>
      <c r="AE258" s="75"/>
      <c r="AF258" s="75"/>
      <c r="AG258" s="75"/>
      <c r="AH258" s="75"/>
      <c r="AI258" s="75"/>
      <c r="AJ258" s="81"/>
      <c r="AK258" s="75"/>
      <c r="AL258" s="75"/>
    </row>
    <row r="259" spans="1:38" ht="15.75" hidden="1" thickBot="1" x14ac:dyDescent="0.3">
      <c r="A259" s="75"/>
      <c r="B259" s="75"/>
      <c r="C259" s="35">
        <f>INDEX(Données!$F$2:$L$54,MATCH(F259,Données!$F$2:$F$54,0),2)</f>
        <v>44116</v>
      </c>
      <c r="D259" s="29" t="str">
        <f t="shared" si="6"/>
        <v>#4</v>
      </c>
      <c r="E259" s="7">
        <f>Données!L43</f>
        <v>44121</v>
      </c>
      <c r="F259" s="6" t="str">
        <f>INDEX(Données!$F$2:$L$54,MATCH('#4'!E259,Données!$G$2:$G$54,1),1)</f>
        <v>42</v>
      </c>
      <c r="G259" s="18" t="str">
        <f t="shared" si="7"/>
        <v>PS-4</v>
      </c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1"/>
      <c r="W259" s="75"/>
      <c r="X259" s="75"/>
      <c r="Y259" s="75"/>
      <c r="Z259" s="96">
        <f>SUM(Tableau15[[#This Row],[A-1]:[G-5]])</f>
        <v>0</v>
      </c>
      <c r="AA259" s="96" t="str">
        <f>IF(AND(Z259&gt;0,Tableau15[[#This Row],[CDS]]=""),"Oui","Non")</f>
        <v>Non</v>
      </c>
      <c r="AB259" s="75"/>
      <c r="AC259" s="75"/>
      <c r="AD259" s="75"/>
      <c r="AE259" s="75"/>
      <c r="AF259" s="75"/>
      <c r="AG259" s="75"/>
      <c r="AH259" s="75"/>
      <c r="AI259" s="75"/>
      <c r="AJ259" s="81"/>
      <c r="AK259" s="75"/>
      <c r="AL259" s="75"/>
    </row>
    <row r="260" spans="1:38" ht="15.75" hidden="1" thickBot="1" x14ac:dyDescent="0.3">
      <c r="A260" s="75"/>
      <c r="B260" s="75"/>
      <c r="C260" s="35">
        <f>INDEX(Données!$F$2:$L$54,MATCH(F260,Données!$F$2:$F$54,0),2)</f>
        <v>44123</v>
      </c>
      <c r="D260" s="29" t="str">
        <f t="shared" si="6"/>
        <v>#4</v>
      </c>
      <c r="E260" s="7">
        <f>Données!G44</f>
        <v>44123</v>
      </c>
      <c r="F260" s="6" t="str">
        <f>INDEX(Données!$F$2:$L$54,MATCH('#4'!E260,Données!$G$2:$G$54,1),1)</f>
        <v>43</v>
      </c>
      <c r="G260" s="18" t="str">
        <f t="shared" si="7"/>
        <v>PS-4</v>
      </c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1"/>
      <c r="W260" s="75"/>
      <c r="X260" s="75"/>
      <c r="Y260" s="75"/>
      <c r="Z260" s="96">
        <f>SUM(Tableau15[[#This Row],[A-1]:[G-5]])</f>
        <v>0</v>
      </c>
      <c r="AA260" s="96" t="str">
        <f>IF(AND(Z260&gt;0,Tableau15[[#This Row],[CDS]]=""),"Oui","Non")</f>
        <v>Non</v>
      </c>
      <c r="AB260" s="75"/>
      <c r="AC260" s="75"/>
      <c r="AD260" s="75"/>
      <c r="AE260" s="75"/>
      <c r="AF260" s="75"/>
      <c r="AG260" s="75"/>
      <c r="AH260" s="75"/>
      <c r="AI260" s="75"/>
      <c r="AJ260" s="81"/>
      <c r="AK260" s="75"/>
      <c r="AL260" s="75"/>
    </row>
    <row r="261" spans="1:38" ht="15.75" hidden="1" thickBot="1" x14ac:dyDescent="0.3">
      <c r="A261" s="75"/>
      <c r="B261" s="75"/>
      <c r="C261" s="35">
        <f>INDEX(Données!$F$2:$L$54,MATCH(F261,Données!$F$2:$F$54,0),2)</f>
        <v>44123</v>
      </c>
      <c r="D261" s="29" t="str">
        <f t="shared" si="6"/>
        <v>#4</v>
      </c>
      <c r="E261" s="7">
        <f>Données!H44</f>
        <v>44124</v>
      </c>
      <c r="F261" s="6" t="str">
        <f>INDEX(Données!$F$2:$L$54,MATCH('#4'!E261,Données!$G$2:$G$54,1),1)</f>
        <v>43</v>
      </c>
      <c r="G261" s="18" t="str">
        <f t="shared" si="7"/>
        <v>PS-4</v>
      </c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1"/>
      <c r="W261" s="75"/>
      <c r="X261" s="75"/>
      <c r="Y261" s="75"/>
      <c r="Z261" s="96">
        <f>SUM(Tableau15[[#This Row],[A-1]:[G-5]])</f>
        <v>0</v>
      </c>
      <c r="AA261" s="96" t="str">
        <f>IF(AND(Z261&gt;0,Tableau15[[#This Row],[CDS]]=""),"Oui","Non")</f>
        <v>Non</v>
      </c>
      <c r="AB261" s="75"/>
      <c r="AC261" s="75"/>
      <c r="AD261" s="75"/>
      <c r="AE261" s="75"/>
      <c r="AF261" s="75"/>
      <c r="AG261" s="75"/>
      <c r="AH261" s="75"/>
      <c r="AI261" s="75"/>
      <c r="AJ261" s="81"/>
      <c r="AK261" s="75"/>
      <c r="AL261" s="75"/>
    </row>
    <row r="262" spans="1:38" ht="15.75" hidden="1" thickBot="1" x14ac:dyDescent="0.3">
      <c r="A262" s="75"/>
      <c r="B262" s="75"/>
      <c r="C262" s="35">
        <f>INDEX(Données!$F$2:$L$54,MATCH(F262,Données!$F$2:$F$54,0),2)</f>
        <v>44123</v>
      </c>
      <c r="D262" s="29" t="str">
        <f t="shared" si="6"/>
        <v>#4</v>
      </c>
      <c r="E262" s="7">
        <f>Données!I44</f>
        <v>44125</v>
      </c>
      <c r="F262" s="6" t="str">
        <f>INDEX(Données!$F$2:$L$54,MATCH('#4'!E262,Données!$G$2:$G$54,1),1)</f>
        <v>43</v>
      </c>
      <c r="G262" s="18" t="str">
        <f t="shared" si="7"/>
        <v>PS-4</v>
      </c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1"/>
      <c r="W262" s="75"/>
      <c r="X262" s="75"/>
      <c r="Y262" s="75"/>
      <c r="Z262" s="96">
        <f>SUM(Tableau15[[#This Row],[A-1]:[G-5]])</f>
        <v>0</v>
      </c>
      <c r="AA262" s="96" t="str">
        <f>IF(AND(Z262&gt;0,Tableau15[[#This Row],[CDS]]=""),"Oui","Non")</f>
        <v>Non</v>
      </c>
      <c r="AB262" s="75"/>
      <c r="AC262" s="75"/>
      <c r="AD262" s="75"/>
      <c r="AE262" s="75"/>
      <c r="AF262" s="75"/>
      <c r="AG262" s="75"/>
      <c r="AH262" s="75"/>
      <c r="AI262" s="75"/>
      <c r="AJ262" s="81"/>
      <c r="AK262" s="75"/>
      <c r="AL262" s="75"/>
    </row>
    <row r="263" spans="1:38" ht="15.75" hidden="1" thickBot="1" x14ac:dyDescent="0.3">
      <c r="A263" s="75"/>
      <c r="B263" s="75"/>
      <c r="C263" s="35">
        <f>INDEX(Données!$F$2:$L$54,MATCH(F263,Données!$F$2:$F$54,0),2)</f>
        <v>44123</v>
      </c>
      <c r="D263" s="29" t="str">
        <f t="shared" si="6"/>
        <v>#4</v>
      </c>
      <c r="E263" s="7">
        <f>Données!J44</f>
        <v>44126</v>
      </c>
      <c r="F263" s="6" t="str">
        <f>INDEX(Données!$F$2:$L$54,MATCH('#4'!E263,Données!$G$2:$G$54,1),1)</f>
        <v>43</v>
      </c>
      <c r="G263" s="18" t="str">
        <f t="shared" si="7"/>
        <v>PS-4</v>
      </c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1"/>
      <c r="W263" s="75"/>
      <c r="X263" s="75"/>
      <c r="Y263" s="75"/>
      <c r="Z263" s="96">
        <f>SUM(Tableau15[[#This Row],[A-1]:[G-5]])</f>
        <v>0</v>
      </c>
      <c r="AA263" s="96" t="str">
        <f>IF(AND(Z263&gt;0,Tableau15[[#This Row],[CDS]]=""),"Oui","Non")</f>
        <v>Non</v>
      </c>
      <c r="AB263" s="75"/>
      <c r="AC263" s="75"/>
      <c r="AD263" s="75"/>
      <c r="AE263" s="75"/>
      <c r="AF263" s="75"/>
      <c r="AG263" s="75"/>
      <c r="AH263" s="75"/>
      <c r="AI263" s="75"/>
      <c r="AJ263" s="81"/>
      <c r="AK263" s="75"/>
      <c r="AL263" s="75"/>
    </row>
    <row r="264" spans="1:38" ht="15.75" hidden="1" thickBot="1" x14ac:dyDescent="0.3">
      <c r="A264" s="75"/>
      <c r="B264" s="75"/>
      <c r="C264" s="35">
        <f>INDEX(Données!$F$2:$L$54,MATCH(F264,Données!$F$2:$F$54,0),2)</f>
        <v>44123</v>
      </c>
      <c r="D264" s="29" t="str">
        <f t="shared" ref="D264:D325" si="8">$E$4</f>
        <v>#4</v>
      </c>
      <c r="E264" s="7">
        <f>Données!K44</f>
        <v>44127</v>
      </c>
      <c r="F264" s="6" t="str">
        <f>INDEX(Données!$F$2:$L$54,MATCH('#4'!E264,Données!$G$2:$G$54,1),1)</f>
        <v>43</v>
      </c>
      <c r="G264" s="18" t="str">
        <f t="shared" ref="G264:G325" si="9">IF(AND($V$5=1),"PS-1",IF(AND($V$5=2),"PS-2",IF(AND($V$5=4),"PS-4",IF(AND($V$5=6),"S.O.",IF(AND($V$5=5),"")))))</f>
        <v>PS-4</v>
      </c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1"/>
      <c r="W264" s="75"/>
      <c r="X264" s="75"/>
      <c r="Y264" s="75"/>
      <c r="Z264" s="96">
        <f>SUM(Tableau15[[#This Row],[A-1]:[G-5]])</f>
        <v>0</v>
      </c>
      <c r="AA264" s="96" t="str">
        <f>IF(AND(Z264&gt;0,Tableau15[[#This Row],[CDS]]=""),"Oui","Non")</f>
        <v>Non</v>
      </c>
      <c r="AB264" s="75"/>
      <c r="AC264" s="75"/>
      <c r="AD264" s="75"/>
      <c r="AE264" s="75"/>
      <c r="AF264" s="75"/>
      <c r="AG264" s="75"/>
      <c r="AH264" s="75"/>
      <c r="AI264" s="75"/>
      <c r="AJ264" s="81"/>
      <c r="AK264" s="75"/>
      <c r="AL264" s="75"/>
    </row>
    <row r="265" spans="1:38" ht="15.75" hidden="1" thickBot="1" x14ac:dyDescent="0.3">
      <c r="A265" s="75"/>
      <c r="B265" s="75"/>
      <c r="C265" s="35">
        <f>INDEX(Données!$F$2:$L$54,MATCH(F265,Données!$F$2:$F$54,0),2)</f>
        <v>44123</v>
      </c>
      <c r="D265" s="29" t="str">
        <f t="shared" si="8"/>
        <v>#4</v>
      </c>
      <c r="E265" s="7">
        <f>Données!L44</f>
        <v>44128</v>
      </c>
      <c r="F265" s="6" t="str">
        <f>INDEX(Données!$F$2:$L$54,MATCH('#4'!E265,Données!$G$2:$G$54,1),1)</f>
        <v>43</v>
      </c>
      <c r="G265" s="18" t="str">
        <f t="shared" si="9"/>
        <v>PS-4</v>
      </c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1"/>
      <c r="W265" s="75"/>
      <c r="X265" s="75"/>
      <c r="Y265" s="75"/>
      <c r="Z265" s="96">
        <f>SUM(Tableau15[[#This Row],[A-1]:[G-5]])</f>
        <v>0</v>
      </c>
      <c r="AA265" s="96" t="str">
        <f>IF(AND(Z265&gt;0,Tableau15[[#This Row],[CDS]]=""),"Oui","Non")</f>
        <v>Non</v>
      </c>
      <c r="AB265" s="75"/>
      <c r="AC265" s="75"/>
      <c r="AD265" s="75"/>
      <c r="AE265" s="75"/>
      <c r="AF265" s="75"/>
      <c r="AG265" s="75"/>
      <c r="AH265" s="75"/>
      <c r="AI265" s="75"/>
      <c r="AJ265" s="81"/>
      <c r="AK265" s="75"/>
      <c r="AL265" s="75"/>
    </row>
    <row r="266" spans="1:38" ht="15.75" hidden="1" thickBot="1" x14ac:dyDescent="0.3">
      <c r="A266" s="75"/>
      <c r="B266" s="75"/>
      <c r="C266" s="35">
        <f>INDEX(Données!$F$2:$L$54,MATCH(F266,Données!$F$2:$F$54,0),2)</f>
        <v>44130</v>
      </c>
      <c r="D266" s="29" t="str">
        <f t="shared" si="8"/>
        <v>#4</v>
      </c>
      <c r="E266" s="7">
        <f>Données!G45</f>
        <v>44130</v>
      </c>
      <c r="F266" s="6" t="str">
        <f>INDEX(Données!$F$2:$L$54,MATCH('#4'!E266,Données!$G$2:$G$54,1),1)</f>
        <v>44</v>
      </c>
      <c r="G266" s="18" t="str">
        <f t="shared" si="9"/>
        <v>PS-4</v>
      </c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1"/>
      <c r="W266" s="75"/>
      <c r="X266" s="75"/>
      <c r="Y266" s="75"/>
      <c r="Z266" s="96">
        <f>SUM(Tableau15[[#This Row],[A-1]:[G-5]])</f>
        <v>0</v>
      </c>
      <c r="AA266" s="96" t="str">
        <f>IF(AND(Z266&gt;0,Tableau15[[#This Row],[CDS]]=""),"Oui","Non")</f>
        <v>Non</v>
      </c>
      <c r="AB266" s="75"/>
      <c r="AC266" s="75"/>
      <c r="AD266" s="75"/>
      <c r="AE266" s="75"/>
      <c r="AF266" s="75"/>
      <c r="AG266" s="75"/>
      <c r="AH266" s="75"/>
      <c r="AI266" s="75"/>
      <c r="AJ266" s="81"/>
      <c r="AK266" s="75"/>
      <c r="AL266" s="75"/>
    </row>
    <row r="267" spans="1:38" ht="15.75" hidden="1" thickBot="1" x14ac:dyDescent="0.3">
      <c r="A267" s="75"/>
      <c r="B267" s="75"/>
      <c r="C267" s="35">
        <f>INDEX(Données!$F$2:$L$54,MATCH(F267,Données!$F$2:$F$54,0),2)</f>
        <v>44130</v>
      </c>
      <c r="D267" s="29" t="str">
        <f t="shared" si="8"/>
        <v>#4</v>
      </c>
      <c r="E267" s="7">
        <f>Données!H45</f>
        <v>44131</v>
      </c>
      <c r="F267" s="6" t="str">
        <f>INDEX(Données!$F$2:$L$54,MATCH('#4'!E267,Données!$G$2:$G$54,1),1)</f>
        <v>44</v>
      </c>
      <c r="G267" s="18" t="str">
        <f t="shared" si="9"/>
        <v>PS-4</v>
      </c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1"/>
      <c r="W267" s="75"/>
      <c r="X267" s="75"/>
      <c r="Y267" s="75"/>
      <c r="Z267" s="96">
        <f>SUM(Tableau15[[#This Row],[A-1]:[G-5]])</f>
        <v>0</v>
      </c>
      <c r="AA267" s="96" t="str">
        <f>IF(AND(Z267&gt;0,Tableau15[[#This Row],[CDS]]=""),"Oui","Non")</f>
        <v>Non</v>
      </c>
      <c r="AB267" s="75"/>
      <c r="AC267" s="75"/>
      <c r="AD267" s="75"/>
      <c r="AE267" s="75"/>
      <c r="AF267" s="75"/>
      <c r="AG267" s="75"/>
      <c r="AH267" s="75"/>
      <c r="AI267" s="75"/>
      <c r="AJ267" s="81"/>
      <c r="AK267" s="75"/>
      <c r="AL267" s="75"/>
    </row>
    <row r="268" spans="1:38" ht="15.75" hidden="1" thickBot="1" x14ac:dyDescent="0.3">
      <c r="A268" s="75"/>
      <c r="B268" s="75"/>
      <c r="C268" s="35">
        <f>INDEX(Données!$F$2:$L$54,MATCH(F268,Données!$F$2:$F$54,0),2)</f>
        <v>44130</v>
      </c>
      <c r="D268" s="29" t="str">
        <f t="shared" si="8"/>
        <v>#4</v>
      </c>
      <c r="E268" s="7">
        <f>Données!I45</f>
        <v>44132</v>
      </c>
      <c r="F268" s="6" t="str">
        <f>INDEX(Données!$F$2:$L$54,MATCH('#4'!E268,Données!$G$2:$G$54,1),1)</f>
        <v>44</v>
      </c>
      <c r="G268" s="18" t="str">
        <f t="shared" si="9"/>
        <v>PS-4</v>
      </c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1"/>
      <c r="W268" s="75"/>
      <c r="X268" s="75"/>
      <c r="Y268" s="75"/>
      <c r="Z268" s="96">
        <f>SUM(Tableau15[[#This Row],[A-1]:[G-5]])</f>
        <v>0</v>
      </c>
      <c r="AA268" s="96" t="str">
        <f>IF(AND(Z268&gt;0,Tableau15[[#This Row],[CDS]]=""),"Oui","Non")</f>
        <v>Non</v>
      </c>
      <c r="AB268" s="75"/>
      <c r="AC268" s="75"/>
      <c r="AD268" s="75"/>
      <c r="AE268" s="75"/>
      <c r="AF268" s="75"/>
      <c r="AG268" s="75"/>
      <c r="AH268" s="75"/>
      <c r="AI268" s="75"/>
      <c r="AJ268" s="81"/>
      <c r="AK268" s="75"/>
      <c r="AL268" s="75"/>
    </row>
    <row r="269" spans="1:38" ht="15.75" hidden="1" thickBot="1" x14ac:dyDescent="0.3">
      <c r="A269" s="75"/>
      <c r="B269" s="75"/>
      <c r="C269" s="35">
        <f>INDEX(Données!$F$2:$L$54,MATCH(F269,Données!$F$2:$F$54,0),2)</f>
        <v>44130</v>
      </c>
      <c r="D269" s="29" t="str">
        <f t="shared" si="8"/>
        <v>#4</v>
      </c>
      <c r="E269" s="7">
        <f>Données!J45</f>
        <v>44133</v>
      </c>
      <c r="F269" s="6" t="str">
        <f>INDEX(Données!$F$2:$L$54,MATCH('#4'!E269,Données!$G$2:$G$54,1),1)</f>
        <v>44</v>
      </c>
      <c r="G269" s="18" t="str">
        <f t="shared" si="9"/>
        <v>PS-4</v>
      </c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1"/>
      <c r="W269" s="75"/>
      <c r="X269" s="75"/>
      <c r="Y269" s="75"/>
      <c r="Z269" s="96">
        <f>SUM(Tableau15[[#This Row],[A-1]:[G-5]])</f>
        <v>0</v>
      </c>
      <c r="AA269" s="96" t="str">
        <f>IF(AND(Z269&gt;0,Tableau15[[#This Row],[CDS]]=""),"Oui","Non")</f>
        <v>Non</v>
      </c>
      <c r="AB269" s="75"/>
      <c r="AC269" s="75"/>
      <c r="AD269" s="75"/>
      <c r="AE269" s="75"/>
      <c r="AF269" s="75"/>
      <c r="AG269" s="75"/>
      <c r="AH269" s="75"/>
      <c r="AI269" s="75"/>
      <c r="AJ269" s="81"/>
      <c r="AK269" s="75"/>
      <c r="AL269" s="75"/>
    </row>
    <row r="270" spans="1:38" ht="15.75" hidden="1" thickBot="1" x14ac:dyDescent="0.3">
      <c r="A270" s="75"/>
      <c r="B270" s="75"/>
      <c r="C270" s="35">
        <f>INDEX(Données!$F$2:$L$54,MATCH(F270,Données!$F$2:$F$54,0),2)</f>
        <v>44130</v>
      </c>
      <c r="D270" s="29" t="str">
        <f t="shared" si="8"/>
        <v>#4</v>
      </c>
      <c r="E270" s="7">
        <f>Données!K45</f>
        <v>44134</v>
      </c>
      <c r="F270" s="6" t="str">
        <f>INDEX(Données!$F$2:$L$54,MATCH('#4'!E270,Données!$G$2:$G$54,1),1)</f>
        <v>44</v>
      </c>
      <c r="G270" s="18" t="str">
        <f t="shared" si="9"/>
        <v>PS-4</v>
      </c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1"/>
      <c r="W270" s="75"/>
      <c r="X270" s="75"/>
      <c r="Y270" s="75"/>
      <c r="Z270" s="96">
        <f>SUM(Tableau15[[#This Row],[A-1]:[G-5]])</f>
        <v>0</v>
      </c>
      <c r="AA270" s="96" t="str">
        <f>IF(AND(Z270&gt;0,Tableau15[[#This Row],[CDS]]=""),"Oui","Non")</f>
        <v>Non</v>
      </c>
      <c r="AB270" s="75"/>
      <c r="AC270" s="75"/>
      <c r="AD270" s="75"/>
      <c r="AE270" s="75"/>
      <c r="AF270" s="75"/>
      <c r="AG270" s="75"/>
      <c r="AH270" s="75"/>
      <c r="AI270" s="75"/>
      <c r="AJ270" s="81"/>
      <c r="AK270" s="75"/>
      <c r="AL270" s="75"/>
    </row>
    <row r="271" spans="1:38" ht="15.75" hidden="1" thickBot="1" x14ac:dyDescent="0.3">
      <c r="A271" s="75"/>
      <c r="B271" s="75"/>
      <c r="C271" s="35">
        <f>INDEX(Données!$F$2:$L$54,MATCH(F271,Données!$F$2:$F$54,0),2)</f>
        <v>44130</v>
      </c>
      <c r="D271" s="29" t="str">
        <f t="shared" si="8"/>
        <v>#4</v>
      </c>
      <c r="E271" s="7">
        <f>Données!L45</f>
        <v>44135</v>
      </c>
      <c r="F271" s="6" t="str">
        <f>INDEX(Données!$F$2:$L$54,MATCH('#4'!E271,Données!$G$2:$G$54,1),1)</f>
        <v>44</v>
      </c>
      <c r="G271" s="18" t="str">
        <f t="shared" si="9"/>
        <v>PS-4</v>
      </c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1"/>
      <c r="W271" s="75"/>
      <c r="X271" s="75"/>
      <c r="Y271" s="75"/>
      <c r="Z271" s="96">
        <f>SUM(Tableau15[[#This Row],[A-1]:[G-5]])</f>
        <v>0</v>
      </c>
      <c r="AA271" s="96" t="str">
        <f>IF(AND(Z271&gt;0,Tableau15[[#This Row],[CDS]]=""),"Oui","Non")</f>
        <v>Non</v>
      </c>
      <c r="AB271" s="75"/>
      <c r="AC271" s="75"/>
      <c r="AD271" s="75"/>
      <c r="AE271" s="75"/>
      <c r="AF271" s="75"/>
      <c r="AG271" s="75"/>
      <c r="AH271" s="75"/>
      <c r="AI271" s="75"/>
      <c r="AJ271" s="81"/>
      <c r="AK271" s="75"/>
      <c r="AL271" s="75"/>
    </row>
    <row r="272" spans="1:38" ht="15.75" hidden="1" thickBot="1" x14ac:dyDescent="0.3">
      <c r="A272" s="75"/>
      <c r="B272" s="75"/>
      <c r="C272" s="35">
        <f>INDEX(Données!$F$2:$L$54,MATCH(F272,Données!$F$2:$F$54,0),2)</f>
        <v>44137</v>
      </c>
      <c r="D272" s="29" t="str">
        <f t="shared" si="8"/>
        <v>#4</v>
      </c>
      <c r="E272" s="7">
        <f>Données!G46</f>
        <v>44137</v>
      </c>
      <c r="F272" s="6" t="str">
        <f>INDEX(Données!$F$2:$L$54,MATCH('#4'!E272,Données!$G$2:$G$54,1),1)</f>
        <v>45</v>
      </c>
      <c r="G272" s="18" t="str">
        <f t="shared" si="9"/>
        <v>PS-4</v>
      </c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1"/>
      <c r="W272" s="75"/>
      <c r="X272" s="75"/>
      <c r="Y272" s="75"/>
      <c r="Z272" s="96">
        <f>SUM(Tableau15[[#This Row],[A-1]:[G-5]])</f>
        <v>0</v>
      </c>
      <c r="AA272" s="96" t="str">
        <f>IF(AND(Z272&gt;0,Tableau15[[#This Row],[CDS]]=""),"Oui","Non")</f>
        <v>Non</v>
      </c>
      <c r="AB272" s="75"/>
      <c r="AC272" s="75"/>
      <c r="AD272" s="75"/>
      <c r="AE272" s="75"/>
      <c r="AF272" s="75"/>
      <c r="AG272" s="75"/>
      <c r="AH272" s="75"/>
      <c r="AI272" s="75"/>
      <c r="AJ272" s="81"/>
      <c r="AK272" s="75"/>
      <c r="AL272" s="75"/>
    </row>
    <row r="273" spans="1:38" ht="15.75" hidden="1" thickBot="1" x14ac:dyDescent="0.3">
      <c r="A273" s="75"/>
      <c r="B273" s="75"/>
      <c r="C273" s="35">
        <f>INDEX(Données!$F$2:$L$54,MATCH(F273,Données!$F$2:$F$54,0),2)</f>
        <v>44137</v>
      </c>
      <c r="D273" s="29" t="str">
        <f t="shared" si="8"/>
        <v>#4</v>
      </c>
      <c r="E273" s="7">
        <f>Données!H46</f>
        <v>44138</v>
      </c>
      <c r="F273" s="6" t="str">
        <f>INDEX(Données!$F$2:$L$54,MATCH('#4'!E273,Données!$G$2:$G$54,1),1)</f>
        <v>45</v>
      </c>
      <c r="G273" s="18" t="str">
        <f t="shared" si="9"/>
        <v>PS-4</v>
      </c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1"/>
      <c r="W273" s="75"/>
      <c r="X273" s="75"/>
      <c r="Y273" s="75"/>
      <c r="Z273" s="96">
        <f>SUM(Tableau15[[#This Row],[A-1]:[G-5]])</f>
        <v>0</v>
      </c>
      <c r="AA273" s="96" t="str">
        <f>IF(AND(Z273&gt;0,Tableau15[[#This Row],[CDS]]=""),"Oui","Non")</f>
        <v>Non</v>
      </c>
      <c r="AB273" s="75"/>
      <c r="AC273" s="75"/>
      <c r="AD273" s="75"/>
      <c r="AE273" s="75"/>
      <c r="AF273" s="75"/>
      <c r="AG273" s="75"/>
      <c r="AH273" s="75"/>
      <c r="AI273" s="75"/>
      <c r="AJ273" s="81"/>
      <c r="AK273" s="75"/>
      <c r="AL273" s="75"/>
    </row>
    <row r="274" spans="1:38" ht="15.75" hidden="1" thickBot="1" x14ac:dyDescent="0.3">
      <c r="A274" s="75"/>
      <c r="B274" s="75"/>
      <c r="C274" s="35">
        <f>INDEX(Données!$F$2:$L$54,MATCH(F274,Données!$F$2:$F$54,0),2)</f>
        <v>44137</v>
      </c>
      <c r="D274" s="29" t="str">
        <f t="shared" si="8"/>
        <v>#4</v>
      </c>
      <c r="E274" s="7">
        <f>Données!I46</f>
        <v>44139</v>
      </c>
      <c r="F274" s="6" t="str">
        <f>INDEX(Données!$F$2:$L$54,MATCH('#4'!E274,Données!$G$2:$G$54,1),1)</f>
        <v>45</v>
      </c>
      <c r="G274" s="18" t="str">
        <f t="shared" si="9"/>
        <v>PS-4</v>
      </c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1"/>
      <c r="W274" s="75"/>
      <c r="X274" s="75"/>
      <c r="Y274" s="75"/>
      <c r="Z274" s="96">
        <f>SUM(Tableau15[[#This Row],[A-1]:[G-5]])</f>
        <v>0</v>
      </c>
      <c r="AA274" s="96" t="str">
        <f>IF(AND(Z274&gt;0,Tableau15[[#This Row],[CDS]]=""),"Oui","Non")</f>
        <v>Non</v>
      </c>
      <c r="AB274" s="75"/>
      <c r="AC274" s="75"/>
      <c r="AD274" s="75"/>
      <c r="AE274" s="75"/>
      <c r="AF274" s="75"/>
      <c r="AG274" s="75"/>
      <c r="AH274" s="75"/>
      <c r="AI274" s="75"/>
      <c r="AJ274" s="81"/>
      <c r="AK274" s="75"/>
      <c r="AL274" s="75"/>
    </row>
    <row r="275" spans="1:38" ht="15.75" hidden="1" thickBot="1" x14ac:dyDescent="0.3">
      <c r="A275" s="75"/>
      <c r="B275" s="75"/>
      <c r="C275" s="35">
        <f>INDEX(Données!$F$2:$L$54,MATCH(F275,Données!$F$2:$F$54,0),2)</f>
        <v>44137</v>
      </c>
      <c r="D275" s="29" t="str">
        <f t="shared" si="8"/>
        <v>#4</v>
      </c>
      <c r="E275" s="7">
        <f>Données!J46</f>
        <v>44140</v>
      </c>
      <c r="F275" s="6" t="str">
        <f>INDEX(Données!$F$2:$L$54,MATCH('#4'!E275,Données!$G$2:$G$54,1),1)</f>
        <v>45</v>
      </c>
      <c r="G275" s="18" t="str">
        <f t="shared" si="9"/>
        <v>PS-4</v>
      </c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1"/>
      <c r="W275" s="75"/>
      <c r="X275" s="75"/>
      <c r="Y275" s="75"/>
      <c r="Z275" s="96">
        <f>SUM(Tableau15[[#This Row],[A-1]:[G-5]])</f>
        <v>0</v>
      </c>
      <c r="AA275" s="96" t="str">
        <f>IF(AND(Z275&gt;0,Tableau15[[#This Row],[CDS]]=""),"Oui","Non")</f>
        <v>Non</v>
      </c>
      <c r="AB275" s="75"/>
      <c r="AC275" s="75"/>
      <c r="AD275" s="75"/>
      <c r="AE275" s="75"/>
      <c r="AF275" s="75"/>
      <c r="AG275" s="75"/>
      <c r="AH275" s="75"/>
      <c r="AI275" s="75"/>
      <c r="AJ275" s="81"/>
      <c r="AK275" s="75"/>
      <c r="AL275" s="75"/>
    </row>
    <row r="276" spans="1:38" ht="15.75" hidden="1" thickBot="1" x14ac:dyDescent="0.3">
      <c r="A276" s="75"/>
      <c r="B276" s="75"/>
      <c r="C276" s="35">
        <f>INDEX(Données!$F$2:$L$54,MATCH(F276,Données!$F$2:$F$54,0),2)</f>
        <v>44137</v>
      </c>
      <c r="D276" s="29" t="str">
        <f t="shared" si="8"/>
        <v>#4</v>
      </c>
      <c r="E276" s="7">
        <f>Données!K46</f>
        <v>44141</v>
      </c>
      <c r="F276" s="6" t="str">
        <f>INDEX(Données!$F$2:$L$54,MATCH('#4'!E276,Données!$G$2:$G$54,1),1)</f>
        <v>45</v>
      </c>
      <c r="G276" s="18" t="str">
        <f t="shared" si="9"/>
        <v>PS-4</v>
      </c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1"/>
      <c r="W276" s="75"/>
      <c r="X276" s="75"/>
      <c r="Y276" s="75"/>
      <c r="Z276" s="96">
        <f>SUM(Tableau15[[#This Row],[A-1]:[G-5]])</f>
        <v>0</v>
      </c>
      <c r="AA276" s="96" t="str">
        <f>IF(AND(Z276&gt;0,Tableau15[[#This Row],[CDS]]=""),"Oui","Non")</f>
        <v>Non</v>
      </c>
      <c r="AB276" s="75"/>
      <c r="AC276" s="75"/>
      <c r="AD276" s="75"/>
      <c r="AE276" s="75"/>
      <c r="AF276" s="75"/>
      <c r="AG276" s="75"/>
      <c r="AH276" s="75"/>
      <c r="AI276" s="75"/>
      <c r="AJ276" s="81"/>
      <c r="AK276" s="75"/>
      <c r="AL276" s="75"/>
    </row>
    <row r="277" spans="1:38" ht="15.75" hidden="1" thickBot="1" x14ac:dyDescent="0.3">
      <c r="A277" s="75"/>
      <c r="B277" s="75"/>
      <c r="C277" s="35">
        <f>INDEX(Données!$F$2:$L$54,MATCH(F277,Données!$F$2:$F$54,0),2)</f>
        <v>44137</v>
      </c>
      <c r="D277" s="29" t="str">
        <f t="shared" si="8"/>
        <v>#4</v>
      </c>
      <c r="E277" s="7">
        <f>Données!L46</f>
        <v>44142</v>
      </c>
      <c r="F277" s="6" t="str">
        <f>INDEX(Données!$F$2:$L$54,MATCH('#4'!E277,Données!$G$2:$G$54,1),1)</f>
        <v>45</v>
      </c>
      <c r="G277" s="18" t="str">
        <f t="shared" si="9"/>
        <v>PS-4</v>
      </c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1"/>
      <c r="W277" s="75"/>
      <c r="X277" s="75"/>
      <c r="Y277" s="75"/>
      <c r="Z277" s="96">
        <f>SUM(Tableau15[[#This Row],[A-1]:[G-5]])</f>
        <v>0</v>
      </c>
      <c r="AA277" s="96" t="str">
        <f>IF(AND(Z277&gt;0,Tableau15[[#This Row],[CDS]]=""),"Oui","Non")</f>
        <v>Non</v>
      </c>
      <c r="AB277" s="75"/>
      <c r="AC277" s="75"/>
      <c r="AD277" s="75"/>
      <c r="AE277" s="75"/>
      <c r="AF277" s="75"/>
      <c r="AG277" s="75"/>
      <c r="AH277" s="75"/>
      <c r="AI277" s="75"/>
      <c r="AJ277" s="81"/>
      <c r="AK277" s="75"/>
      <c r="AL277" s="75"/>
    </row>
    <row r="278" spans="1:38" ht="15.75" hidden="1" thickBot="1" x14ac:dyDescent="0.3">
      <c r="A278" s="75"/>
      <c r="B278" s="75"/>
      <c r="C278" s="35">
        <f>INDEX(Données!$F$2:$L$54,MATCH(F278,Données!$F$2:$F$54,0),2)</f>
        <v>44144</v>
      </c>
      <c r="D278" s="29" t="str">
        <f t="shared" si="8"/>
        <v>#4</v>
      </c>
      <c r="E278" s="7">
        <f>Données!G47</f>
        <v>44144</v>
      </c>
      <c r="F278" s="6" t="str">
        <f>INDEX(Données!$F$2:$L$54,MATCH('#4'!E278,Données!$G$2:$G$54,1),1)</f>
        <v>46</v>
      </c>
      <c r="G278" s="18" t="str">
        <f t="shared" si="9"/>
        <v>PS-4</v>
      </c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1"/>
      <c r="W278" s="75"/>
      <c r="X278" s="75"/>
      <c r="Y278" s="75"/>
      <c r="Z278" s="96">
        <f>SUM(Tableau15[[#This Row],[A-1]:[G-5]])</f>
        <v>0</v>
      </c>
      <c r="AA278" s="96" t="str">
        <f>IF(AND(Z278&gt;0,Tableau15[[#This Row],[CDS]]=""),"Oui","Non")</f>
        <v>Non</v>
      </c>
      <c r="AB278" s="75"/>
      <c r="AC278" s="75"/>
      <c r="AD278" s="75"/>
      <c r="AE278" s="75"/>
      <c r="AF278" s="75"/>
      <c r="AG278" s="75"/>
      <c r="AH278" s="75"/>
      <c r="AI278" s="75"/>
      <c r="AJ278" s="81"/>
      <c r="AK278" s="75"/>
      <c r="AL278" s="75"/>
    </row>
    <row r="279" spans="1:38" ht="15.75" hidden="1" thickBot="1" x14ac:dyDescent="0.3">
      <c r="A279" s="75"/>
      <c r="B279" s="75"/>
      <c r="C279" s="35">
        <f>INDEX(Données!$F$2:$L$54,MATCH(F279,Données!$F$2:$F$54,0),2)</f>
        <v>44144</v>
      </c>
      <c r="D279" s="29" t="str">
        <f t="shared" si="8"/>
        <v>#4</v>
      </c>
      <c r="E279" s="7">
        <f>Données!H47</f>
        <v>44145</v>
      </c>
      <c r="F279" s="6" t="str">
        <f>INDEX(Données!$F$2:$L$54,MATCH('#4'!E279,Données!$G$2:$G$54,1),1)</f>
        <v>46</v>
      </c>
      <c r="G279" s="18" t="str">
        <f t="shared" si="9"/>
        <v>PS-4</v>
      </c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1"/>
      <c r="W279" s="75"/>
      <c r="X279" s="75"/>
      <c r="Y279" s="75"/>
      <c r="Z279" s="96">
        <f>SUM(Tableau15[[#This Row],[A-1]:[G-5]])</f>
        <v>0</v>
      </c>
      <c r="AA279" s="96" t="str">
        <f>IF(AND(Z279&gt;0,Tableau15[[#This Row],[CDS]]=""),"Oui","Non")</f>
        <v>Non</v>
      </c>
      <c r="AB279" s="75"/>
      <c r="AC279" s="75"/>
      <c r="AD279" s="75"/>
      <c r="AE279" s="75"/>
      <c r="AF279" s="75"/>
      <c r="AG279" s="75"/>
      <c r="AH279" s="75"/>
      <c r="AI279" s="75"/>
      <c r="AJ279" s="81"/>
      <c r="AK279" s="75"/>
      <c r="AL279" s="75"/>
    </row>
    <row r="280" spans="1:38" ht="15.75" hidden="1" thickBot="1" x14ac:dyDescent="0.3">
      <c r="A280" s="75"/>
      <c r="B280" s="75"/>
      <c r="C280" s="35">
        <f>INDEX(Données!$F$2:$L$54,MATCH(F280,Données!$F$2:$F$54,0),2)</f>
        <v>44144</v>
      </c>
      <c r="D280" s="29" t="str">
        <f t="shared" si="8"/>
        <v>#4</v>
      </c>
      <c r="E280" s="7">
        <f>Données!I47</f>
        <v>44146</v>
      </c>
      <c r="F280" s="6" t="str">
        <f>INDEX(Données!$F$2:$L$54,MATCH('#4'!E280,Données!$G$2:$G$54,1),1)</f>
        <v>46</v>
      </c>
      <c r="G280" s="18" t="str">
        <f t="shared" si="9"/>
        <v>PS-4</v>
      </c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1"/>
      <c r="W280" s="75"/>
      <c r="X280" s="75"/>
      <c r="Y280" s="75"/>
      <c r="Z280" s="96">
        <f>SUM(Tableau15[[#This Row],[A-1]:[G-5]])</f>
        <v>0</v>
      </c>
      <c r="AA280" s="96" t="str">
        <f>IF(AND(Z280&gt;0,Tableau15[[#This Row],[CDS]]=""),"Oui","Non")</f>
        <v>Non</v>
      </c>
      <c r="AB280" s="75"/>
      <c r="AC280" s="75"/>
      <c r="AD280" s="75"/>
      <c r="AE280" s="75"/>
      <c r="AF280" s="75"/>
      <c r="AG280" s="75"/>
      <c r="AH280" s="75"/>
      <c r="AI280" s="75"/>
      <c r="AJ280" s="81"/>
      <c r="AK280" s="75"/>
      <c r="AL280" s="75"/>
    </row>
    <row r="281" spans="1:38" ht="15.75" hidden="1" thickBot="1" x14ac:dyDescent="0.3">
      <c r="A281" s="75"/>
      <c r="B281" s="75"/>
      <c r="C281" s="35">
        <f>INDEX(Données!$F$2:$L$54,MATCH(F281,Données!$F$2:$F$54,0),2)</f>
        <v>44144</v>
      </c>
      <c r="D281" s="29" t="str">
        <f t="shared" si="8"/>
        <v>#4</v>
      </c>
      <c r="E281" s="7">
        <f>Données!J47</f>
        <v>44147</v>
      </c>
      <c r="F281" s="6" t="str">
        <f>INDEX(Données!$F$2:$L$54,MATCH('#4'!E281,Données!$G$2:$G$54,1),1)</f>
        <v>46</v>
      </c>
      <c r="G281" s="18" t="str">
        <f t="shared" si="9"/>
        <v>PS-4</v>
      </c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1"/>
      <c r="W281" s="75"/>
      <c r="X281" s="75"/>
      <c r="Y281" s="75"/>
      <c r="Z281" s="96">
        <f>SUM(Tableau15[[#This Row],[A-1]:[G-5]])</f>
        <v>0</v>
      </c>
      <c r="AA281" s="96" t="str">
        <f>IF(AND(Z281&gt;0,Tableau15[[#This Row],[CDS]]=""),"Oui","Non")</f>
        <v>Non</v>
      </c>
      <c r="AB281" s="75"/>
      <c r="AC281" s="75"/>
      <c r="AD281" s="75"/>
      <c r="AE281" s="75"/>
      <c r="AF281" s="75"/>
      <c r="AG281" s="75"/>
      <c r="AH281" s="75"/>
      <c r="AI281" s="75"/>
      <c r="AJ281" s="81"/>
      <c r="AK281" s="75"/>
      <c r="AL281" s="75"/>
    </row>
    <row r="282" spans="1:38" ht="15.75" hidden="1" thickBot="1" x14ac:dyDescent="0.3">
      <c r="A282" s="75"/>
      <c r="B282" s="75"/>
      <c r="C282" s="35">
        <f>INDEX(Données!$F$2:$L$54,MATCH(F282,Données!$F$2:$F$54,0),2)</f>
        <v>44144</v>
      </c>
      <c r="D282" s="29" t="str">
        <f t="shared" si="8"/>
        <v>#4</v>
      </c>
      <c r="E282" s="7">
        <f>Données!K47</f>
        <v>44148</v>
      </c>
      <c r="F282" s="6" t="str">
        <f>INDEX(Données!$F$2:$L$54,MATCH('#4'!E282,Données!$G$2:$G$54,1),1)</f>
        <v>46</v>
      </c>
      <c r="G282" s="18" t="str">
        <f t="shared" si="9"/>
        <v>PS-4</v>
      </c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1"/>
      <c r="W282" s="75"/>
      <c r="X282" s="75"/>
      <c r="Y282" s="75"/>
      <c r="Z282" s="96">
        <f>SUM(Tableau15[[#This Row],[A-1]:[G-5]])</f>
        <v>0</v>
      </c>
      <c r="AA282" s="96" t="str">
        <f>IF(AND(Z282&gt;0,Tableau15[[#This Row],[CDS]]=""),"Oui","Non")</f>
        <v>Non</v>
      </c>
      <c r="AB282" s="75"/>
      <c r="AC282" s="75"/>
      <c r="AD282" s="75"/>
      <c r="AE282" s="75"/>
      <c r="AF282" s="75"/>
      <c r="AG282" s="75"/>
      <c r="AH282" s="75"/>
      <c r="AI282" s="75"/>
      <c r="AJ282" s="81"/>
      <c r="AK282" s="75"/>
      <c r="AL282" s="75"/>
    </row>
    <row r="283" spans="1:38" ht="15.75" hidden="1" thickBot="1" x14ac:dyDescent="0.3">
      <c r="A283" s="75"/>
      <c r="B283" s="75"/>
      <c r="C283" s="35">
        <f>INDEX(Données!$F$2:$L$54,MATCH(F283,Données!$F$2:$F$54,0),2)</f>
        <v>44144</v>
      </c>
      <c r="D283" s="29" t="str">
        <f t="shared" si="8"/>
        <v>#4</v>
      </c>
      <c r="E283" s="7">
        <f>Données!L47</f>
        <v>44149</v>
      </c>
      <c r="F283" s="6" t="str">
        <f>INDEX(Données!$F$2:$L$54,MATCH('#4'!E283,Données!$G$2:$G$54,1),1)</f>
        <v>46</v>
      </c>
      <c r="G283" s="18" t="str">
        <f t="shared" si="9"/>
        <v>PS-4</v>
      </c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1"/>
      <c r="W283" s="75"/>
      <c r="X283" s="75"/>
      <c r="Y283" s="75"/>
      <c r="Z283" s="96">
        <f>SUM(Tableau15[[#This Row],[A-1]:[G-5]])</f>
        <v>0</v>
      </c>
      <c r="AA283" s="96" t="str">
        <f>IF(AND(Z283&gt;0,Tableau15[[#This Row],[CDS]]=""),"Oui","Non")</f>
        <v>Non</v>
      </c>
      <c r="AB283" s="75"/>
      <c r="AC283" s="75"/>
      <c r="AD283" s="75"/>
      <c r="AE283" s="75"/>
      <c r="AF283" s="75"/>
      <c r="AG283" s="75"/>
      <c r="AH283" s="75"/>
      <c r="AI283" s="75"/>
      <c r="AJ283" s="81"/>
      <c r="AK283" s="75"/>
      <c r="AL283" s="75"/>
    </row>
    <row r="284" spans="1:38" ht="15.75" hidden="1" thickBot="1" x14ac:dyDescent="0.3">
      <c r="A284" s="75"/>
      <c r="B284" s="75"/>
      <c r="C284" s="35">
        <f>INDEX(Données!$F$2:$L$54,MATCH(F284,Données!$F$2:$F$54,0),2)</f>
        <v>44151</v>
      </c>
      <c r="D284" s="29" t="str">
        <f t="shared" si="8"/>
        <v>#4</v>
      </c>
      <c r="E284" s="7">
        <f>Données!G48</f>
        <v>44151</v>
      </c>
      <c r="F284" s="6" t="str">
        <f>INDEX(Données!$F$2:$L$54,MATCH('#4'!E284,Données!$G$2:$G$54,1),1)</f>
        <v>47</v>
      </c>
      <c r="G284" s="18" t="str">
        <f t="shared" si="9"/>
        <v>PS-4</v>
      </c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1"/>
      <c r="W284" s="75"/>
      <c r="X284" s="75"/>
      <c r="Y284" s="75"/>
      <c r="Z284" s="96">
        <f>SUM(Tableau15[[#This Row],[A-1]:[G-5]])</f>
        <v>0</v>
      </c>
      <c r="AA284" s="96" t="str">
        <f>IF(AND(Z284&gt;0,Tableau15[[#This Row],[CDS]]=""),"Oui","Non")</f>
        <v>Non</v>
      </c>
      <c r="AB284" s="75"/>
      <c r="AC284" s="75"/>
      <c r="AD284" s="75"/>
      <c r="AE284" s="75"/>
      <c r="AF284" s="75"/>
      <c r="AG284" s="75"/>
      <c r="AH284" s="75"/>
      <c r="AI284" s="75"/>
      <c r="AJ284" s="81"/>
      <c r="AK284" s="75"/>
      <c r="AL284" s="75"/>
    </row>
    <row r="285" spans="1:38" ht="15.75" hidden="1" thickBot="1" x14ac:dyDescent="0.3">
      <c r="A285" s="75"/>
      <c r="B285" s="75"/>
      <c r="C285" s="35">
        <f>INDEX(Données!$F$2:$L$54,MATCH(F285,Données!$F$2:$F$54,0),2)</f>
        <v>44151</v>
      </c>
      <c r="D285" s="29" t="str">
        <f t="shared" si="8"/>
        <v>#4</v>
      </c>
      <c r="E285" s="7">
        <f>Données!H48</f>
        <v>44152</v>
      </c>
      <c r="F285" s="6" t="str">
        <f>INDEX(Données!$F$2:$L$54,MATCH('#4'!E285,Données!$G$2:$G$54,1),1)</f>
        <v>47</v>
      </c>
      <c r="G285" s="18" t="str">
        <f t="shared" si="9"/>
        <v>PS-4</v>
      </c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1"/>
      <c r="W285" s="75"/>
      <c r="X285" s="75"/>
      <c r="Y285" s="75"/>
      <c r="Z285" s="96">
        <f>SUM(Tableau15[[#This Row],[A-1]:[G-5]])</f>
        <v>0</v>
      </c>
      <c r="AA285" s="96" t="str">
        <f>IF(AND(Z285&gt;0,Tableau15[[#This Row],[CDS]]=""),"Oui","Non")</f>
        <v>Non</v>
      </c>
      <c r="AB285" s="75"/>
      <c r="AC285" s="75"/>
      <c r="AD285" s="75"/>
      <c r="AE285" s="75"/>
      <c r="AF285" s="75"/>
      <c r="AG285" s="75"/>
      <c r="AH285" s="75"/>
      <c r="AI285" s="75"/>
      <c r="AJ285" s="81"/>
      <c r="AK285" s="75"/>
      <c r="AL285" s="75"/>
    </row>
    <row r="286" spans="1:38" ht="15.75" hidden="1" thickBot="1" x14ac:dyDescent="0.3">
      <c r="A286" s="75"/>
      <c r="B286" s="75"/>
      <c r="C286" s="35">
        <f>INDEX(Données!$F$2:$L$54,MATCH(F286,Données!$F$2:$F$54,0),2)</f>
        <v>44151</v>
      </c>
      <c r="D286" s="29" t="str">
        <f t="shared" si="8"/>
        <v>#4</v>
      </c>
      <c r="E286" s="7">
        <f>Données!I48</f>
        <v>44153</v>
      </c>
      <c r="F286" s="6" t="str">
        <f>INDEX(Données!$F$2:$L$54,MATCH('#4'!E286,Données!$G$2:$G$54,1),1)</f>
        <v>47</v>
      </c>
      <c r="G286" s="18" t="str">
        <f t="shared" si="9"/>
        <v>PS-4</v>
      </c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1"/>
      <c r="W286" s="75"/>
      <c r="X286" s="75"/>
      <c r="Y286" s="75"/>
      <c r="Z286" s="96">
        <f>SUM(Tableau15[[#This Row],[A-1]:[G-5]])</f>
        <v>0</v>
      </c>
      <c r="AA286" s="96" t="str">
        <f>IF(AND(Z286&gt;0,Tableau15[[#This Row],[CDS]]=""),"Oui","Non")</f>
        <v>Non</v>
      </c>
      <c r="AB286" s="75"/>
      <c r="AC286" s="75"/>
      <c r="AD286" s="75"/>
      <c r="AE286" s="75"/>
      <c r="AF286" s="75"/>
      <c r="AG286" s="75"/>
      <c r="AH286" s="75"/>
      <c r="AI286" s="75"/>
      <c r="AJ286" s="81"/>
      <c r="AK286" s="75"/>
      <c r="AL286" s="75"/>
    </row>
    <row r="287" spans="1:38" ht="15.75" hidden="1" thickBot="1" x14ac:dyDescent="0.3">
      <c r="A287" s="75"/>
      <c r="B287" s="75"/>
      <c r="C287" s="35">
        <f>INDEX(Données!$F$2:$L$54,MATCH(F287,Données!$F$2:$F$54,0),2)</f>
        <v>44151</v>
      </c>
      <c r="D287" s="29" t="str">
        <f t="shared" si="8"/>
        <v>#4</v>
      </c>
      <c r="E287" s="7">
        <f>Données!J48</f>
        <v>44154</v>
      </c>
      <c r="F287" s="6" t="str">
        <f>INDEX(Données!$F$2:$L$54,MATCH('#4'!E287,Données!$G$2:$G$54,1),1)</f>
        <v>47</v>
      </c>
      <c r="G287" s="18" t="str">
        <f t="shared" si="9"/>
        <v>PS-4</v>
      </c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1"/>
      <c r="W287" s="75"/>
      <c r="X287" s="75"/>
      <c r="Y287" s="75"/>
      <c r="Z287" s="96">
        <f>SUM(Tableau15[[#This Row],[A-1]:[G-5]])</f>
        <v>0</v>
      </c>
      <c r="AA287" s="96" t="str">
        <f>IF(AND(Z287&gt;0,Tableau15[[#This Row],[CDS]]=""),"Oui","Non")</f>
        <v>Non</v>
      </c>
      <c r="AB287" s="75"/>
      <c r="AC287" s="75"/>
      <c r="AD287" s="75"/>
      <c r="AE287" s="75"/>
      <c r="AF287" s="75"/>
      <c r="AG287" s="75"/>
      <c r="AH287" s="75"/>
      <c r="AI287" s="75"/>
      <c r="AJ287" s="81"/>
      <c r="AK287" s="75"/>
      <c r="AL287" s="75"/>
    </row>
    <row r="288" spans="1:38" ht="15.75" hidden="1" thickBot="1" x14ac:dyDescent="0.3">
      <c r="A288" s="75"/>
      <c r="B288" s="75"/>
      <c r="C288" s="35">
        <f>INDEX(Données!$F$2:$L$54,MATCH(F288,Données!$F$2:$F$54,0),2)</f>
        <v>44151</v>
      </c>
      <c r="D288" s="29" t="str">
        <f t="shared" si="8"/>
        <v>#4</v>
      </c>
      <c r="E288" s="7">
        <f>Données!K48</f>
        <v>44155</v>
      </c>
      <c r="F288" s="6" t="str">
        <f>INDEX(Données!$F$2:$L$54,MATCH('#4'!E288,Données!$G$2:$G$54,1),1)</f>
        <v>47</v>
      </c>
      <c r="G288" s="18" t="str">
        <f t="shared" si="9"/>
        <v>PS-4</v>
      </c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1"/>
      <c r="W288" s="75"/>
      <c r="X288" s="75"/>
      <c r="Y288" s="75"/>
      <c r="Z288" s="96">
        <f>SUM(Tableau15[[#This Row],[A-1]:[G-5]])</f>
        <v>0</v>
      </c>
      <c r="AA288" s="96" t="str">
        <f>IF(AND(Z288&gt;0,Tableau15[[#This Row],[CDS]]=""),"Oui","Non")</f>
        <v>Non</v>
      </c>
      <c r="AB288" s="75"/>
      <c r="AC288" s="75"/>
      <c r="AD288" s="75"/>
      <c r="AE288" s="75"/>
      <c r="AF288" s="75"/>
      <c r="AG288" s="75"/>
      <c r="AH288" s="75"/>
      <c r="AI288" s="75"/>
      <c r="AJ288" s="81"/>
      <c r="AK288" s="75"/>
      <c r="AL288" s="75"/>
    </row>
    <row r="289" spans="1:38" ht="15.75" hidden="1" thickBot="1" x14ac:dyDescent="0.3">
      <c r="A289" s="75"/>
      <c r="B289" s="75"/>
      <c r="C289" s="35">
        <f>INDEX(Données!$F$2:$L$54,MATCH(F289,Données!$F$2:$F$54,0),2)</f>
        <v>44151</v>
      </c>
      <c r="D289" s="29" t="str">
        <f t="shared" si="8"/>
        <v>#4</v>
      </c>
      <c r="E289" s="7">
        <f>Données!L48</f>
        <v>44156</v>
      </c>
      <c r="F289" s="6" t="str">
        <f>INDEX(Données!$F$2:$L$54,MATCH('#4'!E289,Données!$G$2:$G$54,1),1)</f>
        <v>47</v>
      </c>
      <c r="G289" s="18" t="str">
        <f t="shared" si="9"/>
        <v>PS-4</v>
      </c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1"/>
      <c r="W289" s="75"/>
      <c r="X289" s="75"/>
      <c r="Y289" s="75"/>
      <c r="Z289" s="96">
        <f>SUM(Tableau15[[#This Row],[A-1]:[G-5]])</f>
        <v>0</v>
      </c>
      <c r="AA289" s="96" t="str">
        <f>IF(AND(Z289&gt;0,Tableau15[[#This Row],[CDS]]=""),"Oui","Non")</f>
        <v>Non</v>
      </c>
      <c r="AB289" s="75"/>
      <c r="AC289" s="75"/>
      <c r="AD289" s="75"/>
      <c r="AE289" s="75"/>
      <c r="AF289" s="75"/>
      <c r="AG289" s="75"/>
      <c r="AH289" s="75"/>
      <c r="AI289" s="75"/>
      <c r="AJ289" s="81"/>
      <c r="AK289" s="75"/>
      <c r="AL289" s="75"/>
    </row>
    <row r="290" spans="1:38" ht="15.75" hidden="1" thickBot="1" x14ac:dyDescent="0.3">
      <c r="A290" s="75"/>
      <c r="B290" s="75"/>
      <c r="C290" s="35">
        <f>INDEX(Données!$F$2:$L$54,MATCH(F290,Données!$F$2:$F$54,0),2)</f>
        <v>44158</v>
      </c>
      <c r="D290" s="29" t="str">
        <f t="shared" si="8"/>
        <v>#4</v>
      </c>
      <c r="E290" s="7">
        <f>Données!G49</f>
        <v>44158</v>
      </c>
      <c r="F290" s="6" t="str">
        <f>INDEX(Données!$F$2:$L$54,MATCH('#4'!E290,Données!$G$2:$G$54,1),1)</f>
        <v>48</v>
      </c>
      <c r="G290" s="18" t="str">
        <f t="shared" si="9"/>
        <v>PS-4</v>
      </c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1"/>
      <c r="W290" s="75"/>
      <c r="X290" s="75"/>
      <c r="Y290" s="75"/>
      <c r="Z290" s="96">
        <f>SUM(Tableau15[[#This Row],[A-1]:[G-5]])</f>
        <v>0</v>
      </c>
      <c r="AA290" s="96" t="str">
        <f>IF(AND(Z290&gt;0,Tableau15[[#This Row],[CDS]]=""),"Oui","Non")</f>
        <v>Non</v>
      </c>
      <c r="AB290" s="75"/>
      <c r="AC290" s="75"/>
      <c r="AD290" s="75"/>
      <c r="AE290" s="75"/>
      <c r="AF290" s="75"/>
      <c r="AG290" s="75"/>
      <c r="AH290" s="75"/>
      <c r="AI290" s="75"/>
      <c r="AJ290" s="81"/>
      <c r="AK290" s="75"/>
      <c r="AL290" s="75"/>
    </row>
    <row r="291" spans="1:38" ht="15.75" hidden="1" thickBot="1" x14ac:dyDescent="0.3">
      <c r="A291" s="75"/>
      <c r="B291" s="75"/>
      <c r="C291" s="35">
        <f>INDEX(Données!$F$2:$L$54,MATCH(F291,Données!$F$2:$F$54,0),2)</f>
        <v>44158</v>
      </c>
      <c r="D291" s="29" t="str">
        <f t="shared" si="8"/>
        <v>#4</v>
      </c>
      <c r="E291" s="7">
        <f>Données!H49</f>
        <v>44159</v>
      </c>
      <c r="F291" s="6" t="str">
        <f>INDEX(Données!$F$2:$L$54,MATCH('#4'!E291,Données!$G$2:$G$54,1),1)</f>
        <v>48</v>
      </c>
      <c r="G291" s="18" t="str">
        <f t="shared" si="9"/>
        <v>PS-4</v>
      </c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1"/>
      <c r="W291" s="75"/>
      <c r="X291" s="75"/>
      <c r="Y291" s="75"/>
      <c r="Z291" s="96">
        <f>SUM(Tableau15[[#This Row],[A-1]:[G-5]])</f>
        <v>0</v>
      </c>
      <c r="AA291" s="96" t="str">
        <f>IF(AND(Z291&gt;0,Tableau15[[#This Row],[CDS]]=""),"Oui","Non")</f>
        <v>Non</v>
      </c>
      <c r="AB291" s="75"/>
      <c r="AC291" s="75"/>
      <c r="AD291" s="75"/>
      <c r="AE291" s="75"/>
      <c r="AF291" s="75"/>
      <c r="AG291" s="75"/>
      <c r="AH291" s="75"/>
      <c r="AI291" s="75"/>
      <c r="AJ291" s="81"/>
      <c r="AK291" s="75"/>
      <c r="AL291" s="75"/>
    </row>
    <row r="292" spans="1:38" ht="15.75" hidden="1" thickBot="1" x14ac:dyDescent="0.3">
      <c r="A292" s="75"/>
      <c r="B292" s="75"/>
      <c r="C292" s="35">
        <f>INDEX(Données!$F$2:$L$54,MATCH(F292,Données!$F$2:$F$54,0),2)</f>
        <v>44158</v>
      </c>
      <c r="D292" s="29" t="str">
        <f t="shared" si="8"/>
        <v>#4</v>
      </c>
      <c r="E292" s="7">
        <f>Données!I49</f>
        <v>44160</v>
      </c>
      <c r="F292" s="6" t="str">
        <f>INDEX(Données!$F$2:$L$54,MATCH('#4'!E292,Données!$G$2:$G$54,1),1)</f>
        <v>48</v>
      </c>
      <c r="G292" s="18" t="str">
        <f t="shared" si="9"/>
        <v>PS-4</v>
      </c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1"/>
      <c r="W292" s="75"/>
      <c r="X292" s="75"/>
      <c r="Y292" s="75"/>
      <c r="Z292" s="96">
        <f>SUM(Tableau15[[#This Row],[A-1]:[G-5]])</f>
        <v>0</v>
      </c>
      <c r="AA292" s="96" t="str">
        <f>IF(AND(Z292&gt;0,Tableau15[[#This Row],[CDS]]=""),"Oui","Non")</f>
        <v>Non</v>
      </c>
      <c r="AB292" s="75"/>
      <c r="AC292" s="75"/>
      <c r="AD292" s="75"/>
      <c r="AE292" s="75"/>
      <c r="AF292" s="75"/>
      <c r="AG292" s="75"/>
      <c r="AH292" s="75"/>
      <c r="AI292" s="75"/>
      <c r="AJ292" s="81"/>
      <c r="AK292" s="75"/>
      <c r="AL292" s="75"/>
    </row>
    <row r="293" spans="1:38" ht="15.75" hidden="1" thickBot="1" x14ac:dyDescent="0.3">
      <c r="A293" s="75"/>
      <c r="B293" s="75"/>
      <c r="C293" s="35">
        <f>INDEX(Données!$F$2:$L$54,MATCH(F293,Données!$F$2:$F$54,0),2)</f>
        <v>44158</v>
      </c>
      <c r="D293" s="29" t="str">
        <f t="shared" si="8"/>
        <v>#4</v>
      </c>
      <c r="E293" s="7">
        <f>Données!J49</f>
        <v>44161</v>
      </c>
      <c r="F293" s="6" t="str">
        <f>INDEX(Données!$F$2:$L$54,MATCH('#4'!E293,Données!$G$2:$G$54,1),1)</f>
        <v>48</v>
      </c>
      <c r="G293" s="18" t="str">
        <f t="shared" si="9"/>
        <v>PS-4</v>
      </c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1"/>
      <c r="W293" s="75"/>
      <c r="X293" s="75"/>
      <c r="Y293" s="75"/>
      <c r="Z293" s="96">
        <f>SUM(Tableau15[[#This Row],[A-1]:[G-5]])</f>
        <v>0</v>
      </c>
      <c r="AA293" s="96" t="str">
        <f>IF(AND(Z293&gt;0,Tableau15[[#This Row],[CDS]]=""),"Oui","Non")</f>
        <v>Non</v>
      </c>
      <c r="AB293" s="75"/>
      <c r="AC293" s="75"/>
      <c r="AD293" s="75"/>
      <c r="AE293" s="75"/>
      <c r="AF293" s="75"/>
      <c r="AG293" s="75"/>
      <c r="AH293" s="75"/>
      <c r="AI293" s="75"/>
      <c r="AJ293" s="81"/>
      <c r="AK293" s="75"/>
      <c r="AL293" s="75"/>
    </row>
    <row r="294" spans="1:38" ht="15.75" hidden="1" thickBot="1" x14ac:dyDescent="0.3">
      <c r="A294" s="75"/>
      <c r="B294" s="75"/>
      <c r="C294" s="35">
        <f>INDEX(Données!$F$2:$L$54,MATCH(F294,Données!$F$2:$F$54,0),2)</f>
        <v>44158</v>
      </c>
      <c r="D294" s="29" t="str">
        <f t="shared" si="8"/>
        <v>#4</v>
      </c>
      <c r="E294" s="7">
        <f>Données!K49</f>
        <v>44162</v>
      </c>
      <c r="F294" s="6" t="str">
        <f>INDEX(Données!$F$2:$L$54,MATCH('#4'!E294,Données!$G$2:$G$54,1),1)</f>
        <v>48</v>
      </c>
      <c r="G294" s="18" t="str">
        <f t="shared" si="9"/>
        <v>PS-4</v>
      </c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1"/>
      <c r="W294" s="75"/>
      <c r="X294" s="75"/>
      <c r="Y294" s="75"/>
      <c r="Z294" s="96">
        <f>SUM(Tableau15[[#This Row],[A-1]:[G-5]])</f>
        <v>0</v>
      </c>
      <c r="AA294" s="96" t="str">
        <f>IF(AND(Z294&gt;0,Tableau15[[#This Row],[CDS]]=""),"Oui","Non")</f>
        <v>Non</v>
      </c>
      <c r="AB294" s="75"/>
      <c r="AC294" s="75"/>
      <c r="AD294" s="75"/>
      <c r="AE294" s="75"/>
      <c r="AF294" s="75"/>
      <c r="AG294" s="75"/>
      <c r="AH294" s="75"/>
      <c r="AI294" s="75"/>
      <c r="AJ294" s="81"/>
      <c r="AK294" s="75"/>
      <c r="AL294" s="75"/>
    </row>
    <row r="295" spans="1:38" ht="15.75" hidden="1" thickBot="1" x14ac:dyDescent="0.3">
      <c r="A295" s="75"/>
      <c r="B295" s="75"/>
      <c r="C295" s="35">
        <f>INDEX(Données!$F$2:$L$54,MATCH(F295,Données!$F$2:$F$54,0),2)</f>
        <v>44158</v>
      </c>
      <c r="D295" s="29" t="str">
        <f t="shared" si="8"/>
        <v>#4</v>
      </c>
      <c r="E295" s="7">
        <f>Données!L49</f>
        <v>44163</v>
      </c>
      <c r="F295" s="6" t="str">
        <f>INDEX(Données!$F$2:$L$54,MATCH('#4'!E295,Données!$G$2:$G$54,1),1)</f>
        <v>48</v>
      </c>
      <c r="G295" s="18" t="str">
        <f t="shared" si="9"/>
        <v>PS-4</v>
      </c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1"/>
      <c r="W295" s="75"/>
      <c r="X295" s="75"/>
      <c r="Y295" s="75"/>
      <c r="Z295" s="96">
        <f>SUM(Tableau15[[#This Row],[A-1]:[G-5]])</f>
        <v>0</v>
      </c>
      <c r="AA295" s="96" t="str">
        <f>IF(AND(Z295&gt;0,Tableau15[[#This Row],[CDS]]=""),"Oui","Non")</f>
        <v>Non</v>
      </c>
      <c r="AB295" s="75"/>
      <c r="AC295" s="75"/>
      <c r="AD295" s="75"/>
      <c r="AE295" s="75"/>
      <c r="AF295" s="75"/>
      <c r="AG295" s="75"/>
      <c r="AH295" s="75"/>
      <c r="AI295" s="75"/>
      <c r="AJ295" s="81"/>
      <c r="AK295" s="75"/>
      <c r="AL295" s="75"/>
    </row>
    <row r="296" spans="1:38" ht="15.75" hidden="1" thickBot="1" x14ac:dyDescent="0.3">
      <c r="A296" s="75"/>
      <c r="B296" s="75"/>
      <c r="C296" s="35">
        <f>INDEX(Données!$F$2:$L$54,MATCH(F296,Données!$F$2:$F$54,0),2)</f>
        <v>44165</v>
      </c>
      <c r="D296" s="29" t="str">
        <f t="shared" si="8"/>
        <v>#4</v>
      </c>
      <c r="E296" s="7">
        <f>Données!G50</f>
        <v>44165</v>
      </c>
      <c r="F296" s="6" t="str">
        <f>INDEX(Données!$F$2:$L$54,MATCH('#4'!E296,Données!$G$2:$G$54,1),1)</f>
        <v>49</v>
      </c>
      <c r="G296" s="18" t="str">
        <f t="shared" si="9"/>
        <v>PS-4</v>
      </c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1"/>
      <c r="W296" s="75"/>
      <c r="X296" s="75"/>
      <c r="Y296" s="75"/>
      <c r="Z296" s="96">
        <f>SUM(Tableau15[[#This Row],[A-1]:[G-5]])</f>
        <v>0</v>
      </c>
      <c r="AA296" s="96" t="str">
        <f>IF(AND(Z296&gt;0,Tableau15[[#This Row],[CDS]]=""),"Oui","Non")</f>
        <v>Non</v>
      </c>
      <c r="AB296" s="75"/>
      <c r="AC296" s="75"/>
      <c r="AD296" s="75"/>
      <c r="AE296" s="75"/>
      <c r="AF296" s="75"/>
      <c r="AG296" s="75"/>
      <c r="AH296" s="75"/>
      <c r="AI296" s="75"/>
      <c r="AJ296" s="81"/>
      <c r="AK296" s="75"/>
      <c r="AL296" s="75"/>
    </row>
    <row r="297" spans="1:38" ht="15.75" hidden="1" thickBot="1" x14ac:dyDescent="0.3">
      <c r="A297" s="75"/>
      <c r="B297" s="75"/>
      <c r="C297" s="35">
        <f>INDEX(Données!$F$2:$L$54,MATCH(F297,Données!$F$2:$F$54,0),2)</f>
        <v>44165</v>
      </c>
      <c r="D297" s="29" t="str">
        <f t="shared" si="8"/>
        <v>#4</v>
      </c>
      <c r="E297" s="7">
        <f>Données!H50</f>
        <v>44166</v>
      </c>
      <c r="F297" s="6" t="str">
        <f>INDEX(Données!$F$2:$L$54,MATCH('#4'!E297,Données!$G$2:$G$54,1),1)</f>
        <v>49</v>
      </c>
      <c r="G297" s="18" t="str">
        <f t="shared" si="9"/>
        <v>PS-4</v>
      </c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1"/>
      <c r="W297" s="75"/>
      <c r="X297" s="75"/>
      <c r="Y297" s="75"/>
      <c r="Z297" s="96">
        <f>SUM(Tableau15[[#This Row],[A-1]:[G-5]])</f>
        <v>0</v>
      </c>
      <c r="AA297" s="96" t="str">
        <f>IF(AND(Z297&gt;0,Tableau15[[#This Row],[CDS]]=""),"Oui","Non")</f>
        <v>Non</v>
      </c>
      <c r="AB297" s="75"/>
      <c r="AC297" s="75"/>
      <c r="AD297" s="75"/>
      <c r="AE297" s="75"/>
      <c r="AF297" s="75"/>
      <c r="AG297" s="75"/>
      <c r="AH297" s="75"/>
      <c r="AI297" s="75"/>
      <c r="AJ297" s="81"/>
      <c r="AK297" s="75"/>
      <c r="AL297" s="75"/>
    </row>
    <row r="298" spans="1:38" ht="15.75" hidden="1" thickBot="1" x14ac:dyDescent="0.3">
      <c r="A298" s="75"/>
      <c r="B298" s="75"/>
      <c r="C298" s="35">
        <f>INDEX(Données!$F$2:$L$54,MATCH(F298,Données!$F$2:$F$54,0),2)</f>
        <v>44165</v>
      </c>
      <c r="D298" s="29" t="str">
        <f t="shared" si="8"/>
        <v>#4</v>
      </c>
      <c r="E298" s="7">
        <f>Données!I50</f>
        <v>44167</v>
      </c>
      <c r="F298" s="6" t="str">
        <f>INDEX(Données!$F$2:$L$54,MATCH('#4'!E298,Données!$G$2:$G$54,1),1)</f>
        <v>49</v>
      </c>
      <c r="G298" s="18" t="str">
        <f t="shared" si="9"/>
        <v>PS-4</v>
      </c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1"/>
      <c r="W298" s="75"/>
      <c r="X298" s="75"/>
      <c r="Y298" s="75"/>
      <c r="Z298" s="96">
        <f>SUM(Tableau15[[#This Row],[A-1]:[G-5]])</f>
        <v>0</v>
      </c>
      <c r="AA298" s="96" t="str">
        <f>IF(AND(Z298&gt;0,Tableau15[[#This Row],[CDS]]=""),"Oui","Non")</f>
        <v>Non</v>
      </c>
      <c r="AB298" s="75"/>
      <c r="AC298" s="75"/>
      <c r="AD298" s="75"/>
      <c r="AE298" s="75"/>
      <c r="AF298" s="75"/>
      <c r="AG298" s="75"/>
      <c r="AH298" s="75"/>
      <c r="AI298" s="75"/>
      <c r="AJ298" s="81"/>
      <c r="AK298" s="75"/>
      <c r="AL298" s="75"/>
    </row>
    <row r="299" spans="1:38" ht="15.75" hidden="1" thickBot="1" x14ac:dyDescent="0.3">
      <c r="A299" s="75"/>
      <c r="B299" s="75"/>
      <c r="C299" s="35">
        <f>INDEX(Données!$F$2:$L$54,MATCH(F299,Données!$F$2:$F$54,0),2)</f>
        <v>44165</v>
      </c>
      <c r="D299" s="29" t="str">
        <f t="shared" si="8"/>
        <v>#4</v>
      </c>
      <c r="E299" s="7">
        <f>Données!J50</f>
        <v>44168</v>
      </c>
      <c r="F299" s="6" t="str">
        <f>INDEX(Données!$F$2:$L$54,MATCH('#4'!E299,Données!$G$2:$G$54,1),1)</f>
        <v>49</v>
      </c>
      <c r="G299" s="18" t="str">
        <f t="shared" si="9"/>
        <v>PS-4</v>
      </c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1"/>
      <c r="W299" s="75"/>
      <c r="X299" s="75"/>
      <c r="Y299" s="75"/>
      <c r="Z299" s="96">
        <f>SUM(Tableau15[[#This Row],[A-1]:[G-5]])</f>
        <v>0</v>
      </c>
      <c r="AA299" s="96" t="str">
        <f>IF(AND(Z299&gt;0,Tableau15[[#This Row],[CDS]]=""),"Oui","Non")</f>
        <v>Non</v>
      </c>
      <c r="AB299" s="75"/>
      <c r="AC299" s="75"/>
      <c r="AD299" s="75"/>
      <c r="AE299" s="75"/>
      <c r="AF299" s="75"/>
      <c r="AG299" s="75"/>
      <c r="AH299" s="75"/>
      <c r="AI299" s="75"/>
      <c r="AJ299" s="81"/>
      <c r="AK299" s="75"/>
      <c r="AL299" s="75"/>
    </row>
    <row r="300" spans="1:38" ht="15.75" hidden="1" thickBot="1" x14ac:dyDescent="0.3">
      <c r="A300" s="75"/>
      <c r="B300" s="75"/>
      <c r="C300" s="35">
        <f>INDEX(Données!$F$2:$L$54,MATCH(F300,Données!$F$2:$F$54,0),2)</f>
        <v>44165</v>
      </c>
      <c r="D300" s="29" t="str">
        <f t="shared" si="8"/>
        <v>#4</v>
      </c>
      <c r="E300" s="7">
        <f>Données!K50</f>
        <v>44169</v>
      </c>
      <c r="F300" s="6" t="str">
        <f>INDEX(Données!$F$2:$L$54,MATCH('#4'!E300,Données!$G$2:$G$54,1),1)</f>
        <v>49</v>
      </c>
      <c r="G300" s="18" t="str">
        <f t="shared" si="9"/>
        <v>PS-4</v>
      </c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1"/>
      <c r="W300" s="75"/>
      <c r="X300" s="75"/>
      <c r="Y300" s="75"/>
      <c r="Z300" s="96">
        <f>SUM(Tableau15[[#This Row],[A-1]:[G-5]])</f>
        <v>0</v>
      </c>
      <c r="AA300" s="96" t="str">
        <f>IF(AND(Z300&gt;0,Tableau15[[#This Row],[CDS]]=""),"Oui","Non")</f>
        <v>Non</v>
      </c>
      <c r="AB300" s="75"/>
      <c r="AC300" s="75"/>
      <c r="AD300" s="75"/>
      <c r="AE300" s="75"/>
      <c r="AF300" s="75"/>
      <c r="AG300" s="75"/>
      <c r="AH300" s="75"/>
      <c r="AI300" s="75"/>
      <c r="AJ300" s="81"/>
      <c r="AK300" s="75"/>
      <c r="AL300" s="75"/>
    </row>
    <row r="301" spans="1:38" ht="15.75" hidden="1" thickBot="1" x14ac:dyDescent="0.3">
      <c r="A301" s="75"/>
      <c r="B301" s="75"/>
      <c r="C301" s="35">
        <f>INDEX(Données!$F$2:$L$54,MATCH(F301,Données!$F$2:$F$54,0),2)</f>
        <v>44165</v>
      </c>
      <c r="D301" s="29" t="str">
        <f t="shared" si="8"/>
        <v>#4</v>
      </c>
      <c r="E301" s="7">
        <f>Données!L50</f>
        <v>44170</v>
      </c>
      <c r="F301" s="6" t="str">
        <f>INDEX(Données!$F$2:$L$54,MATCH('#4'!E301,Données!$G$2:$G$54,1),1)</f>
        <v>49</v>
      </c>
      <c r="G301" s="18" t="str">
        <f t="shared" si="9"/>
        <v>PS-4</v>
      </c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1"/>
      <c r="W301" s="75"/>
      <c r="X301" s="75"/>
      <c r="Y301" s="75"/>
      <c r="Z301" s="96">
        <f>SUM(Tableau15[[#This Row],[A-1]:[G-5]])</f>
        <v>0</v>
      </c>
      <c r="AA301" s="96" t="str">
        <f>IF(AND(Z301&gt;0,Tableau15[[#This Row],[CDS]]=""),"Oui","Non")</f>
        <v>Non</v>
      </c>
      <c r="AB301" s="75"/>
      <c r="AC301" s="75"/>
      <c r="AD301" s="75"/>
      <c r="AE301" s="75"/>
      <c r="AF301" s="75"/>
      <c r="AG301" s="75"/>
      <c r="AH301" s="75"/>
      <c r="AI301" s="75"/>
      <c r="AJ301" s="81"/>
      <c r="AK301" s="75"/>
      <c r="AL301" s="75"/>
    </row>
    <row r="302" spans="1:38" ht="15.75" hidden="1" thickBot="1" x14ac:dyDescent="0.3">
      <c r="A302" s="75"/>
      <c r="B302" s="75"/>
      <c r="C302" s="35">
        <f>INDEX(Données!$F$2:$L$54,MATCH(F302,Données!$F$2:$F$54,0),2)</f>
        <v>44172</v>
      </c>
      <c r="D302" s="29" t="str">
        <f t="shared" si="8"/>
        <v>#4</v>
      </c>
      <c r="E302" s="7">
        <f>Données!G51</f>
        <v>44172</v>
      </c>
      <c r="F302" s="6" t="str">
        <f>INDEX(Données!$F$2:$L$54,MATCH('#4'!E302,Données!$G$2:$G$54,1),1)</f>
        <v>50</v>
      </c>
      <c r="G302" s="18" t="str">
        <f t="shared" si="9"/>
        <v>PS-4</v>
      </c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1"/>
      <c r="W302" s="75"/>
      <c r="X302" s="75"/>
      <c r="Y302" s="75"/>
      <c r="Z302" s="96">
        <f>SUM(Tableau15[[#This Row],[A-1]:[G-5]])</f>
        <v>0</v>
      </c>
      <c r="AA302" s="96" t="str">
        <f>IF(AND(Z302&gt;0,Tableau15[[#This Row],[CDS]]=""),"Oui","Non")</f>
        <v>Non</v>
      </c>
      <c r="AB302" s="75"/>
      <c r="AC302" s="75"/>
      <c r="AD302" s="75"/>
      <c r="AE302" s="75"/>
      <c r="AF302" s="75"/>
      <c r="AG302" s="75"/>
      <c r="AH302" s="75"/>
      <c r="AI302" s="75"/>
      <c r="AJ302" s="81"/>
      <c r="AK302" s="75"/>
      <c r="AL302" s="75"/>
    </row>
    <row r="303" spans="1:38" ht="15.75" hidden="1" thickBot="1" x14ac:dyDescent="0.3">
      <c r="A303" s="75"/>
      <c r="B303" s="75"/>
      <c r="C303" s="35">
        <f>INDEX(Données!$F$2:$L$54,MATCH(F303,Données!$F$2:$F$54,0),2)</f>
        <v>44172</v>
      </c>
      <c r="D303" s="29" t="str">
        <f t="shared" si="8"/>
        <v>#4</v>
      </c>
      <c r="E303" s="7">
        <f>Données!H51</f>
        <v>44173</v>
      </c>
      <c r="F303" s="6" t="str">
        <f>INDEX(Données!$F$2:$L$54,MATCH('#4'!E303,Données!$G$2:$G$54,1),1)</f>
        <v>50</v>
      </c>
      <c r="G303" s="18" t="str">
        <f t="shared" si="9"/>
        <v>PS-4</v>
      </c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1"/>
      <c r="W303" s="75"/>
      <c r="X303" s="75"/>
      <c r="Y303" s="75"/>
      <c r="Z303" s="96">
        <f>SUM(Tableau15[[#This Row],[A-1]:[G-5]])</f>
        <v>0</v>
      </c>
      <c r="AA303" s="96" t="str">
        <f>IF(AND(Z303&gt;0,Tableau15[[#This Row],[CDS]]=""),"Oui","Non")</f>
        <v>Non</v>
      </c>
      <c r="AB303" s="75"/>
      <c r="AC303" s="75"/>
      <c r="AD303" s="75"/>
      <c r="AE303" s="75"/>
      <c r="AF303" s="75"/>
      <c r="AG303" s="75"/>
      <c r="AH303" s="75"/>
      <c r="AI303" s="75"/>
      <c r="AJ303" s="81"/>
      <c r="AK303" s="75"/>
      <c r="AL303" s="75"/>
    </row>
    <row r="304" spans="1:38" ht="15.75" hidden="1" thickBot="1" x14ac:dyDescent="0.3">
      <c r="A304" s="75"/>
      <c r="B304" s="75"/>
      <c r="C304" s="35">
        <f>INDEX(Données!$F$2:$L$54,MATCH(F304,Données!$F$2:$F$54,0),2)</f>
        <v>44172</v>
      </c>
      <c r="D304" s="29" t="str">
        <f t="shared" si="8"/>
        <v>#4</v>
      </c>
      <c r="E304" s="7">
        <f>Données!I51</f>
        <v>44174</v>
      </c>
      <c r="F304" s="6" t="str">
        <f>INDEX(Données!$F$2:$L$54,MATCH('#4'!E304,Données!$G$2:$G$54,1),1)</f>
        <v>50</v>
      </c>
      <c r="G304" s="18" t="str">
        <f t="shared" si="9"/>
        <v>PS-4</v>
      </c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1"/>
      <c r="W304" s="75"/>
      <c r="X304" s="75"/>
      <c r="Y304" s="75"/>
      <c r="Z304" s="96">
        <f>SUM(Tableau15[[#This Row],[A-1]:[G-5]])</f>
        <v>0</v>
      </c>
      <c r="AA304" s="96" t="str">
        <f>IF(AND(Z304&gt;0,Tableau15[[#This Row],[CDS]]=""),"Oui","Non")</f>
        <v>Non</v>
      </c>
      <c r="AB304" s="75"/>
      <c r="AC304" s="75"/>
      <c r="AD304" s="75"/>
      <c r="AE304" s="75"/>
      <c r="AF304" s="75"/>
      <c r="AG304" s="75"/>
      <c r="AH304" s="75"/>
      <c r="AI304" s="75"/>
      <c r="AJ304" s="81"/>
      <c r="AK304" s="75"/>
      <c r="AL304" s="75"/>
    </row>
    <row r="305" spans="1:38" ht="15.75" hidden="1" thickBot="1" x14ac:dyDescent="0.3">
      <c r="A305" s="75"/>
      <c r="B305" s="75"/>
      <c r="C305" s="35">
        <f>INDEX(Données!$F$2:$L$54,MATCH(F305,Données!$F$2:$F$54,0),2)</f>
        <v>44172</v>
      </c>
      <c r="D305" s="29" t="str">
        <f t="shared" si="8"/>
        <v>#4</v>
      </c>
      <c r="E305" s="7">
        <f>Données!J51</f>
        <v>44175</v>
      </c>
      <c r="F305" s="6" t="str">
        <f>INDEX(Données!$F$2:$L$54,MATCH('#4'!E305,Données!$G$2:$G$54,1),1)</f>
        <v>50</v>
      </c>
      <c r="G305" s="18" t="str">
        <f t="shared" si="9"/>
        <v>PS-4</v>
      </c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1"/>
      <c r="W305" s="75"/>
      <c r="X305" s="75"/>
      <c r="Y305" s="75"/>
      <c r="Z305" s="96">
        <f>SUM(Tableau15[[#This Row],[A-1]:[G-5]])</f>
        <v>0</v>
      </c>
      <c r="AA305" s="96" t="str">
        <f>IF(AND(Z305&gt;0,Tableau15[[#This Row],[CDS]]=""),"Oui","Non")</f>
        <v>Non</v>
      </c>
      <c r="AB305" s="75"/>
      <c r="AC305" s="75"/>
      <c r="AD305" s="75"/>
      <c r="AE305" s="75"/>
      <c r="AF305" s="75"/>
      <c r="AG305" s="75"/>
      <c r="AH305" s="75"/>
      <c r="AI305" s="75"/>
      <c r="AJ305" s="81"/>
      <c r="AK305" s="75"/>
      <c r="AL305" s="75"/>
    </row>
    <row r="306" spans="1:38" ht="15.75" hidden="1" thickBot="1" x14ac:dyDescent="0.3">
      <c r="A306" s="75"/>
      <c r="B306" s="75"/>
      <c r="C306" s="35">
        <f>INDEX(Données!$F$2:$L$54,MATCH(F306,Données!$F$2:$F$54,0),2)</f>
        <v>44172</v>
      </c>
      <c r="D306" s="29" t="str">
        <f t="shared" si="8"/>
        <v>#4</v>
      </c>
      <c r="E306" s="7">
        <f>Données!K51</f>
        <v>44176</v>
      </c>
      <c r="F306" s="6" t="str">
        <f>INDEX(Données!$F$2:$L$54,MATCH('#4'!E306,Données!$G$2:$G$54,1),1)</f>
        <v>50</v>
      </c>
      <c r="G306" s="18" t="str">
        <f t="shared" si="9"/>
        <v>PS-4</v>
      </c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1"/>
      <c r="W306" s="75"/>
      <c r="X306" s="75"/>
      <c r="Y306" s="75"/>
      <c r="Z306" s="96">
        <f>SUM(Tableau15[[#This Row],[A-1]:[G-5]])</f>
        <v>0</v>
      </c>
      <c r="AA306" s="96" t="str">
        <f>IF(AND(Z306&gt;0,Tableau15[[#This Row],[CDS]]=""),"Oui","Non")</f>
        <v>Non</v>
      </c>
      <c r="AB306" s="75"/>
      <c r="AC306" s="75"/>
      <c r="AD306" s="75"/>
      <c r="AE306" s="75"/>
      <c r="AF306" s="75"/>
      <c r="AG306" s="75"/>
      <c r="AH306" s="75"/>
      <c r="AI306" s="75"/>
      <c r="AJ306" s="81"/>
      <c r="AK306" s="75"/>
      <c r="AL306" s="75"/>
    </row>
    <row r="307" spans="1:38" ht="15.75" hidden="1" thickBot="1" x14ac:dyDescent="0.3">
      <c r="A307" s="75"/>
      <c r="B307" s="75"/>
      <c r="C307" s="35">
        <f>INDEX(Données!$F$2:$L$54,MATCH(F307,Données!$F$2:$F$54,0),2)</f>
        <v>44172</v>
      </c>
      <c r="D307" s="29" t="str">
        <f t="shared" si="8"/>
        <v>#4</v>
      </c>
      <c r="E307" s="7">
        <f>Données!L51</f>
        <v>44177</v>
      </c>
      <c r="F307" s="6" t="str">
        <f>INDEX(Données!$F$2:$L$54,MATCH('#4'!E307,Données!$G$2:$G$54,1),1)</f>
        <v>50</v>
      </c>
      <c r="G307" s="18" t="str">
        <f t="shared" si="9"/>
        <v>PS-4</v>
      </c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1"/>
      <c r="W307" s="75"/>
      <c r="X307" s="75"/>
      <c r="Y307" s="75"/>
      <c r="Z307" s="96">
        <f>SUM(Tableau15[[#This Row],[A-1]:[G-5]])</f>
        <v>0</v>
      </c>
      <c r="AA307" s="96" t="str">
        <f>IF(AND(Z307&gt;0,Tableau15[[#This Row],[CDS]]=""),"Oui","Non")</f>
        <v>Non</v>
      </c>
      <c r="AB307" s="75"/>
      <c r="AC307" s="75"/>
      <c r="AD307" s="75"/>
      <c r="AE307" s="75"/>
      <c r="AF307" s="75"/>
      <c r="AG307" s="75"/>
      <c r="AH307" s="75"/>
      <c r="AI307" s="75"/>
      <c r="AJ307" s="81"/>
      <c r="AK307" s="75"/>
      <c r="AL307" s="75"/>
    </row>
    <row r="308" spans="1:38" ht="15.75" hidden="1" thickBot="1" x14ac:dyDescent="0.3">
      <c r="A308" s="75"/>
      <c r="B308" s="75"/>
      <c r="C308" s="35">
        <f>INDEX(Données!$F$2:$L$54,MATCH(F308,Données!$F$2:$F$54,0),2)</f>
        <v>44179</v>
      </c>
      <c r="D308" s="29" t="str">
        <f t="shared" si="8"/>
        <v>#4</v>
      </c>
      <c r="E308" s="7">
        <f>Données!G52</f>
        <v>44179</v>
      </c>
      <c r="F308" s="6" t="str">
        <f>INDEX(Données!$F$2:$L$54,MATCH('#4'!E308,Données!$G$2:$G$54,1),1)</f>
        <v>51</v>
      </c>
      <c r="G308" s="18" t="str">
        <f t="shared" si="9"/>
        <v>PS-4</v>
      </c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1"/>
      <c r="W308" s="75"/>
      <c r="X308" s="75"/>
      <c r="Y308" s="75"/>
      <c r="Z308" s="96">
        <f>SUM(Tableau15[[#This Row],[A-1]:[G-5]])</f>
        <v>0</v>
      </c>
      <c r="AA308" s="96" t="str">
        <f>IF(AND(Z308&gt;0,Tableau15[[#This Row],[CDS]]=""),"Oui","Non")</f>
        <v>Non</v>
      </c>
      <c r="AB308" s="75"/>
      <c r="AC308" s="75"/>
      <c r="AD308" s="75"/>
      <c r="AE308" s="75"/>
      <c r="AF308" s="75"/>
      <c r="AG308" s="75"/>
      <c r="AH308" s="75"/>
      <c r="AI308" s="75"/>
      <c r="AJ308" s="81"/>
      <c r="AK308" s="75"/>
      <c r="AL308" s="75"/>
    </row>
    <row r="309" spans="1:38" ht="15.75" hidden="1" thickBot="1" x14ac:dyDescent="0.3">
      <c r="A309" s="75"/>
      <c r="B309" s="75"/>
      <c r="C309" s="35">
        <f>INDEX(Données!$F$2:$L$54,MATCH(F309,Données!$F$2:$F$54,0),2)</f>
        <v>44179</v>
      </c>
      <c r="D309" s="29" t="str">
        <f t="shared" si="8"/>
        <v>#4</v>
      </c>
      <c r="E309" s="7">
        <f>Données!H52</f>
        <v>44180</v>
      </c>
      <c r="F309" s="6" t="str">
        <f>INDEX(Données!$F$2:$L$54,MATCH('#4'!E309,Données!$G$2:$G$54,1),1)</f>
        <v>51</v>
      </c>
      <c r="G309" s="18" t="str">
        <f t="shared" si="9"/>
        <v>PS-4</v>
      </c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1"/>
      <c r="W309" s="75"/>
      <c r="X309" s="75"/>
      <c r="Y309" s="75"/>
      <c r="Z309" s="96">
        <f>SUM(Tableau15[[#This Row],[A-1]:[G-5]])</f>
        <v>0</v>
      </c>
      <c r="AA309" s="96" t="str">
        <f>IF(AND(Z309&gt;0,Tableau15[[#This Row],[CDS]]=""),"Oui","Non")</f>
        <v>Non</v>
      </c>
      <c r="AB309" s="75"/>
      <c r="AC309" s="75"/>
      <c r="AD309" s="75"/>
      <c r="AE309" s="75"/>
      <c r="AF309" s="75"/>
      <c r="AG309" s="75"/>
      <c r="AH309" s="75"/>
      <c r="AI309" s="75"/>
      <c r="AJ309" s="81"/>
      <c r="AK309" s="75"/>
      <c r="AL309" s="75"/>
    </row>
    <row r="310" spans="1:38" ht="15.75" hidden="1" thickBot="1" x14ac:dyDescent="0.3">
      <c r="A310" s="75"/>
      <c r="B310" s="75"/>
      <c r="C310" s="35">
        <f>INDEX(Données!$F$2:$L$54,MATCH(F310,Données!$F$2:$F$54,0),2)</f>
        <v>44179</v>
      </c>
      <c r="D310" s="29" t="str">
        <f t="shared" si="8"/>
        <v>#4</v>
      </c>
      <c r="E310" s="7">
        <f>Données!I52</f>
        <v>44181</v>
      </c>
      <c r="F310" s="6" t="str">
        <f>INDEX(Données!$F$2:$L$54,MATCH('#4'!E310,Données!$G$2:$G$54,1),1)</f>
        <v>51</v>
      </c>
      <c r="G310" s="18" t="str">
        <f t="shared" si="9"/>
        <v>PS-4</v>
      </c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1"/>
      <c r="W310" s="75"/>
      <c r="X310" s="75"/>
      <c r="Y310" s="75"/>
      <c r="Z310" s="96">
        <f>SUM(Tableau15[[#This Row],[A-1]:[G-5]])</f>
        <v>0</v>
      </c>
      <c r="AA310" s="96" t="str">
        <f>IF(AND(Z310&gt;0,Tableau15[[#This Row],[CDS]]=""),"Oui","Non")</f>
        <v>Non</v>
      </c>
      <c r="AB310" s="75"/>
      <c r="AC310" s="75"/>
      <c r="AD310" s="75"/>
      <c r="AE310" s="75"/>
      <c r="AF310" s="75"/>
      <c r="AG310" s="75"/>
      <c r="AH310" s="75"/>
      <c r="AI310" s="75"/>
      <c r="AJ310" s="81"/>
      <c r="AK310" s="75"/>
      <c r="AL310" s="75"/>
    </row>
    <row r="311" spans="1:38" ht="15.75" hidden="1" thickBot="1" x14ac:dyDescent="0.3">
      <c r="A311" s="75"/>
      <c r="B311" s="75"/>
      <c r="C311" s="35">
        <f>INDEX(Données!$F$2:$L$54,MATCH(F311,Données!$F$2:$F$54,0),2)</f>
        <v>44179</v>
      </c>
      <c r="D311" s="29" t="str">
        <f t="shared" si="8"/>
        <v>#4</v>
      </c>
      <c r="E311" s="7">
        <f>Données!J52</f>
        <v>44182</v>
      </c>
      <c r="F311" s="6" t="str">
        <f>INDEX(Données!$F$2:$L$54,MATCH('#4'!E311,Données!$G$2:$G$54,1),1)</f>
        <v>51</v>
      </c>
      <c r="G311" s="18" t="str">
        <f t="shared" si="9"/>
        <v>PS-4</v>
      </c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1"/>
      <c r="W311" s="75"/>
      <c r="X311" s="75"/>
      <c r="Y311" s="75"/>
      <c r="Z311" s="96">
        <f>SUM(Tableau15[[#This Row],[A-1]:[G-5]])</f>
        <v>0</v>
      </c>
      <c r="AA311" s="96" t="str">
        <f>IF(AND(Z311&gt;0,Tableau15[[#This Row],[CDS]]=""),"Oui","Non")</f>
        <v>Non</v>
      </c>
      <c r="AB311" s="75"/>
      <c r="AC311" s="75"/>
      <c r="AD311" s="75"/>
      <c r="AE311" s="75"/>
      <c r="AF311" s="75"/>
      <c r="AG311" s="75"/>
      <c r="AH311" s="75"/>
      <c r="AI311" s="75"/>
      <c r="AJ311" s="81"/>
      <c r="AK311" s="75"/>
      <c r="AL311" s="75"/>
    </row>
    <row r="312" spans="1:38" ht="15.75" hidden="1" thickBot="1" x14ac:dyDescent="0.3">
      <c r="A312" s="75"/>
      <c r="B312" s="75"/>
      <c r="C312" s="35">
        <f>INDEX(Données!$F$2:$L$54,MATCH(F312,Données!$F$2:$F$54,0),2)</f>
        <v>44179</v>
      </c>
      <c r="D312" s="29" t="str">
        <f t="shared" si="8"/>
        <v>#4</v>
      </c>
      <c r="E312" s="7">
        <f>Données!K52</f>
        <v>44183</v>
      </c>
      <c r="F312" s="6" t="str">
        <f>INDEX(Données!$F$2:$L$54,MATCH('#4'!E312,Données!$G$2:$G$54,1),1)</f>
        <v>51</v>
      </c>
      <c r="G312" s="18" t="str">
        <f t="shared" si="9"/>
        <v>PS-4</v>
      </c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1"/>
      <c r="W312" s="75"/>
      <c r="X312" s="75"/>
      <c r="Y312" s="75"/>
      <c r="Z312" s="96">
        <f>SUM(Tableau15[[#This Row],[A-1]:[G-5]])</f>
        <v>0</v>
      </c>
      <c r="AA312" s="96" t="str">
        <f>IF(AND(Z312&gt;0,Tableau15[[#This Row],[CDS]]=""),"Oui","Non")</f>
        <v>Non</v>
      </c>
      <c r="AB312" s="75"/>
      <c r="AC312" s="75"/>
      <c r="AD312" s="75"/>
      <c r="AE312" s="75"/>
      <c r="AF312" s="75"/>
      <c r="AG312" s="75"/>
      <c r="AH312" s="75"/>
      <c r="AI312" s="75"/>
      <c r="AJ312" s="81"/>
      <c r="AK312" s="75"/>
      <c r="AL312" s="75"/>
    </row>
    <row r="313" spans="1:38" ht="15.75" hidden="1" thickBot="1" x14ac:dyDescent="0.3">
      <c r="A313" s="75"/>
      <c r="B313" s="75"/>
      <c r="C313" s="35">
        <f>INDEX(Données!$F$2:$L$54,MATCH(F313,Données!$F$2:$F$54,0),2)</f>
        <v>44179</v>
      </c>
      <c r="D313" s="29" t="str">
        <f t="shared" si="8"/>
        <v>#4</v>
      </c>
      <c r="E313" s="7">
        <f>Données!L52</f>
        <v>44184</v>
      </c>
      <c r="F313" s="6" t="str">
        <f>INDEX(Données!$F$2:$L$54,MATCH('#4'!E313,Données!$G$2:$G$54,1),1)</f>
        <v>51</v>
      </c>
      <c r="G313" s="18" t="str">
        <f>IF(AND($V$5=1),"PS-1",IF(AND($V$5=2),"PS-2",IF(AND($V$5=4),"PS-4",IF(AND($V$5=6),"S.O.",IF(AND($V$5=5),"")))))</f>
        <v>PS-4</v>
      </c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1"/>
      <c r="W313" s="75"/>
      <c r="X313" s="75"/>
      <c r="Y313" s="75"/>
      <c r="Z313" s="96">
        <f>SUM(Tableau15[[#This Row],[A-1]:[G-5]])</f>
        <v>0</v>
      </c>
      <c r="AA313" s="96" t="str">
        <f>IF(AND(Z313&gt;0,Tableau15[[#This Row],[CDS]]=""),"Oui","Non")</f>
        <v>Non</v>
      </c>
      <c r="AB313" s="75"/>
      <c r="AC313" s="75"/>
      <c r="AD313" s="75"/>
      <c r="AE313" s="75"/>
      <c r="AF313" s="75"/>
      <c r="AG313" s="75"/>
      <c r="AH313" s="75"/>
      <c r="AI313" s="75"/>
      <c r="AJ313" s="81"/>
      <c r="AK313" s="75"/>
      <c r="AL313" s="75"/>
    </row>
    <row r="314" spans="1:38" ht="15.75" hidden="1" thickBot="1" x14ac:dyDescent="0.3">
      <c r="A314" s="75"/>
      <c r="B314" s="75"/>
      <c r="C314" s="35">
        <f>INDEX(Données!$F$2:$L$54,MATCH(F314,Données!$F$2:$F$54,0),2)</f>
        <v>44186</v>
      </c>
      <c r="D314" s="29" t="str">
        <f t="shared" si="8"/>
        <v>#4</v>
      </c>
      <c r="E314" s="7">
        <f>Données!G53</f>
        <v>44186</v>
      </c>
      <c r="F314" s="6" t="str">
        <f>INDEX(Données!$F$2:$L$54,MATCH('#4'!E314,Données!$G$2:$G$54,1),1)</f>
        <v>52</v>
      </c>
      <c r="G314" s="18" t="str">
        <f t="shared" si="9"/>
        <v>PS-4</v>
      </c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1"/>
      <c r="W314" s="75"/>
      <c r="X314" s="75"/>
      <c r="Y314" s="75"/>
      <c r="Z314" s="96">
        <f>SUM(Tableau15[[#This Row],[A-1]:[G-5]])</f>
        <v>0</v>
      </c>
      <c r="AA314" s="96" t="str">
        <f>IF(AND(Z314&gt;0,Tableau15[[#This Row],[CDS]]=""),"Oui","Non")</f>
        <v>Non</v>
      </c>
      <c r="AB314" s="75"/>
      <c r="AC314" s="75"/>
      <c r="AD314" s="75"/>
      <c r="AE314" s="75"/>
      <c r="AF314" s="75"/>
      <c r="AG314" s="75"/>
      <c r="AH314" s="75"/>
      <c r="AI314" s="75"/>
      <c r="AJ314" s="81"/>
      <c r="AK314" s="75"/>
      <c r="AL314" s="75"/>
    </row>
    <row r="315" spans="1:38" ht="15.75" hidden="1" thickBot="1" x14ac:dyDescent="0.3">
      <c r="A315" s="75"/>
      <c r="B315" s="75"/>
      <c r="C315" s="35">
        <f>INDEX(Données!$F$2:$L$54,MATCH(F315,Données!$F$2:$F$54,0),2)</f>
        <v>44186</v>
      </c>
      <c r="D315" s="29" t="str">
        <f t="shared" si="8"/>
        <v>#4</v>
      </c>
      <c r="E315" s="7">
        <f>Données!H53</f>
        <v>44187</v>
      </c>
      <c r="F315" s="6" t="str">
        <f>INDEX(Données!$F$2:$L$54,MATCH('#4'!E315,Données!$G$2:$G$54,1),1)</f>
        <v>52</v>
      </c>
      <c r="G315" s="18" t="str">
        <f t="shared" si="9"/>
        <v>PS-4</v>
      </c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1"/>
      <c r="W315" s="75"/>
      <c r="X315" s="75"/>
      <c r="Y315" s="75"/>
      <c r="Z315" s="96">
        <f>SUM(Tableau15[[#This Row],[A-1]:[G-5]])</f>
        <v>0</v>
      </c>
      <c r="AA315" s="96" t="str">
        <f>IF(AND(Z315&gt;0,Tableau15[[#This Row],[CDS]]=""),"Oui","Non")</f>
        <v>Non</v>
      </c>
      <c r="AB315" s="75"/>
      <c r="AC315" s="75"/>
      <c r="AD315" s="75"/>
      <c r="AE315" s="75"/>
      <c r="AF315" s="75"/>
      <c r="AG315" s="75"/>
      <c r="AH315" s="75"/>
      <c r="AI315" s="75"/>
      <c r="AJ315" s="81"/>
      <c r="AK315" s="75"/>
      <c r="AL315" s="75"/>
    </row>
    <row r="316" spans="1:38" ht="15.75" hidden="1" thickBot="1" x14ac:dyDescent="0.3">
      <c r="A316" s="75"/>
      <c r="B316" s="75"/>
      <c r="C316" s="35">
        <f>INDEX(Données!$F$2:$L$54,MATCH(F316,Données!$F$2:$F$54,0),2)</f>
        <v>44186</v>
      </c>
      <c r="D316" s="29" t="str">
        <f t="shared" si="8"/>
        <v>#4</v>
      </c>
      <c r="E316" s="7">
        <f>Données!I53</f>
        <v>44188</v>
      </c>
      <c r="F316" s="6" t="str">
        <f>INDEX(Données!$F$2:$L$54,MATCH('#4'!E316,Données!$G$2:$G$54,1),1)</f>
        <v>52</v>
      </c>
      <c r="G316" s="18" t="str">
        <f t="shared" si="9"/>
        <v>PS-4</v>
      </c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1"/>
      <c r="W316" s="75"/>
      <c r="X316" s="75"/>
      <c r="Y316" s="75"/>
      <c r="Z316" s="96">
        <f>SUM(Tableau15[[#This Row],[A-1]:[G-5]])</f>
        <v>0</v>
      </c>
      <c r="AA316" s="96" t="str">
        <f>IF(AND(Z316&gt;0,Tableau15[[#This Row],[CDS]]=""),"Oui","Non")</f>
        <v>Non</v>
      </c>
      <c r="AB316" s="75"/>
      <c r="AC316" s="75"/>
      <c r="AD316" s="75"/>
      <c r="AE316" s="75"/>
      <c r="AF316" s="75"/>
      <c r="AG316" s="75"/>
      <c r="AH316" s="75"/>
      <c r="AI316" s="75"/>
      <c r="AJ316" s="81"/>
      <c r="AK316" s="75"/>
      <c r="AL316" s="75"/>
    </row>
    <row r="317" spans="1:38" ht="15.75" hidden="1" thickBot="1" x14ac:dyDescent="0.3">
      <c r="A317" s="75"/>
      <c r="B317" s="75"/>
      <c r="C317" s="35">
        <f>INDEX(Données!$F$2:$L$54,MATCH(F317,Données!$F$2:$F$54,0),2)</f>
        <v>44186</v>
      </c>
      <c r="D317" s="29" t="str">
        <f t="shared" si="8"/>
        <v>#4</v>
      </c>
      <c r="E317" s="7">
        <f>Données!J53</f>
        <v>44189</v>
      </c>
      <c r="F317" s="6" t="str">
        <f>INDEX(Données!$F$2:$L$54,MATCH('#4'!E317,Données!$G$2:$G$54,1),1)</f>
        <v>52</v>
      </c>
      <c r="G317" s="18" t="str">
        <f t="shared" si="9"/>
        <v>PS-4</v>
      </c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1"/>
      <c r="W317" s="75"/>
      <c r="X317" s="75"/>
      <c r="Y317" s="75"/>
      <c r="Z317" s="96">
        <f>SUM(Tableau15[[#This Row],[A-1]:[G-5]])</f>
        <v>0</v>
      </c>
      <c r="AA317" s="96" t="str">
        <f>IF(AND(Z317&gt;0,Tableau15[[#This Row],[CDS]]=""),"Oui","Non")</f>
        <v>Non</v>
      </c>
      <c r="AB317" s="75"/>
      <c r="AC317" s="75"/>
      <c r="AD317" s="75"/>
      <c r="AE317" s="75"/>
      <c r="AF317" s="75"/>
      <c r="AG317" s="75"/>
      <c r="AH317" s="75"/>
      <c r="AI317" s="75"/>
      <c r="AJ317" s="81"/>
      <c r="AK317" s="75"/>
      <c r="AL317" s="75"/>
    </row>
    <row r="318" spans="1:38" ht="15.75" hidden="1" thickBot="1" x14ac:dyDescent="0.3">
      <c r="A318" s="75"/>
      <c r="B318" s="75"/>
      <c r="C318" s="35">
        <f>INDEX(Données!$F$2:$L$54,MATCH(F318,Données!$F$2:$F$54,0),2)</f>
        <v>44186</v>
      </c>
      <c r="D318" s="29" t="str">
        <f t="shared" si="8"/>
        <v>#4</v>
      </c>
      <c r="E318" s="7">
        <f>Données!K53</f>
        <v>44190</v>
      </c>
      <c r="F318" s="6" t="str">
        <f>INDEX(Données!$F$2:$L$54,MATCH('#4'!E318,Données!$G$2:$G$54,1),1)</f>
        <v>52</v>
      </c>
      <c r="G318" s="18" t="str">
        <f t="shared" si="9"/>
        <v>PS-4</v>
      </c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1"/>
      <c r="W318" s="75"/>
      <c r="X318" s="75"/>
      <c r="Y318" s="75"/>
      <c r="Z318" s="96">
        <f>SUM(Tableau15[[#This Row],[A-1]:[G-5]])</f>
        <v>0</v>
      </c>
      <c r="AA318" s="96" t="str">
        <f>IF(AND(Z318&gt;0,Tableau15[[#This Row],[CDS]]=""),"Oui","Non")</f>
        <v>Non</v>
      </c>
      <c r="AB318" s="75"/>
      <c r="AC318" s="75"/>
      <c r="AD318" s="75"/>
      <c r="AE318" s="75"/>
      <c r="AF318" s="75"/>
      <c r="AG318" s="75"/>
      <c r="AH318" s="75"/>
      <c r="AI318" s="75"/>
      <c r="AJ318" s="81"/>
      <c r="AK318" s="75"/>
      <c r="AL318" s="75"/>
    </row>
    <row r="319" spans="1:38" ht="15.75" hidden="1" thickBot="1" x14ac:dyDescent="0.3">
      <c r="A319" s="75"/>
      <c r="B319" s="75"/>
      <c r="C319" s="35">
        <f>INDEX(Données!$F$2:$L$54,MATCH(F319,Données!$F$2:$F$54,0),2)</f>
        <v>44186</v>
      </c>
      <c r="D319" s="29" t="str">
        <f t="shared" si="8"/>
        <v>#4</v>
      </c>
      <c r="E319" s="7">
        <f>Données!L53</f>
        <v>44191</v>
      </c>
      <c r="F319" s="6" t="str">
        <f>INDEX(Données!$F$2:$L$54,MATCH('#4'!E319,Données!$G$2:$G$54,1),1)</f>
        <v>52</v>
      </c>
      <c r="G319" s="18" t="str">
        <f t="shared" si="9"/>
        <v>PS-4</v>
      </c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1"/>
      <c r="W319" s="75"/>
      <c r="X319" s="75"/>
      <c r="Y319" s="75"/>
      <c r="Z319" s="96">
        <f>SUM(Tableau15[[#This Row],[A-1]:[G-5]])</f>
        <v>0</v>
      </c>
      <c r="AA319" s="96" t="str">
        <f>IF(AND(Z319&gt;0,Tableau15[[#This Row],[CDS]]=""),"Oui","Non")</f>
        <v>Non</v>
      </c>
      <c r="AB319" s="75"/>
      <c r="AC319" s="75"/>
      <c r="AD319" s="75"/>
      <c r="AE319" s="75"/>
      <c r="AF319" s="75"/>
      <c r="AG319" s="75"/>
      <c r="AH319" s="75"/>
      <c r="AI319" s="75"/>
      <c r="AJ319" s="81"/>
      <c r="AK319" s="75"/>
      <c r="AL319" s="75"/>
    </row>
    <row r="320" spans="1:38" ht="15.75" hidden="1" thickBot="1" x14ac:dyDescent="0.3">
      <c r="A320" s="75"/>
      <c r="B320" s="75"/>
      <c r="C320" s="35">
        <f>INDEX(Données!$F$2:$L$54,MATCH(F320,Données!$F$2:$F$54,0),2)</f>
        <v>44193</v>
      </c>
      <c r="D320" s="29" t="str">
        <f t="shared" si="8"/>
        <v>#4</v>
      </c>
      <c r="E320" s="7">
        <f>Données!G54</f>
        <v>44193</v>
      </c>
      <c r="F320" s="6" t="str">
        <f>INDEX(Données!$F$2:$L$54,MATCH('#4'!E320,Données!$G$2:$G$54,1),1)</f>
        <v>53</v>
      </c>
      <c r="G320" s="18" t="str">
        <f t="shared" si="9"/>
        <v>PS-4</v>
      </c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1"/>
      <c r="W320" s="75"/>
      <c r="X320" s="75"/>
      <c r="Y320" s="75"/>
      <c r="Z320" s="96">
        <f>SUM(Tableau15[[#This Row],[A-1]:[G-5]])</f>
        <v>0</v>
      </c>
      <c r="AA320" s="96" t="str">
        <f>IF(AND(Z320&gt;0,Tableau15[[#This Row],[CDS]]=""),"Oui","Non")</f>
        <v>Non</v>
      </c>
      <c r="AB320" s="75"/>
      <c r="AC320" s="75"/>
      <c r="AD320" s="75"/>
      <c r="AE320" s="75"/>
      <c r="AF320" s="75"/>
      <c r="AG320" s="75"/>
      <c r="AH320" s="75"/>
      <c r="AI320" s="75"/>
      <c r="AJ320" s="81"/>
      <c r="AK320" s="75"/>
      <c r="AL320" s="75"/>
    </row>
    <row r="321" spans="1:38" ht="15.75" hidden="1" thickBot="1" x14ac:dyDescent="0.3">
      <c r="A321" s="75"/>
      <c r="B321" s="75"/>
      <c r="C321" s="35">
        <f>INDEX(Données!$F$2:$L$54,MATCH(F321,Données!$F$2:$F$54,0),2)</f>
        <v>44193</v>
      </c>
      <c r="D321" s="29" t="str">
        <f t="shared" si="8"/>
        <v>#4</v>
      </c>
      <c r="E321" s="7">
        <f>Données!H54</f>
        <v>44194</v>
      </c>
      <c r="F321" s="6" t="str">
        <f>INDEX(Données!$F$2:$L$54,MATCH('#4'!E321,Données!$G$2:$G$54,1),1)</f>
        <v>53</v>
      </c>
      <c r="G321" s="18" t="str">
        <f>IF(AND($V$5=1),"PS-1",IF(AND($V$5=2),"PS-2",IF(AND($V$5=4),"PS-4",IF(AND($V$5=6),"S.O.",IF(AND($V$5=5),"")))))</f>
        <v>PS-4</v>
      </c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1"/>
      <c r="W321" s="75"/>
      <c r="X321" s="75"/>
      <c r="Y321" s="75"/>
      <c r="Z321" s="96">
        <f>SUM(Tableau15[[#This Row],[A-1]:[G-5]])</f>
        <v>0</v>
      </c>
      <c r="AA321" s="96" t="str">
        <f>IF(AND(Z321&gt;0,Tableau15[[#This Row],[CDS]]=""),"Oui","Non")</f>
        <v>Non</v>
      </c>
      <c r="AB321" s="75"/>
      <c r="AC321" s="75"/>
      <c r="AD321" s="75"/>
      <c r="AE321" s="75"/>
      <c r="AF321" s="75"/>
      <c r="AG321" s="75"/>
      <c r="AH321" s="75"/>
      <c r="AI321" s="75"/>
      <c r="AJ321" s="81"/>
      <c r="AK321" s="75"/>
      <c r="AL321" s="75"/>
    </row>
    <row r="322" spans="1:38" ht="15.75" hidden="1" thickBot="1" x14ac:dyDescent="0.3">
      <c r="A322" s="75"/>
      <c r="B322" s="75"/>
      <c r="C322" s="35">
        <f>INDEX(Données!$F$2:$L$54,MATCH(F322,Données!$F$2:$F$54,0),2)</f>
        <v>44193</v>
      </c>
      <c r="D322" s="29" t="str">
        <f t="shared" si="8"/>
        <v>#4</v>
      </c>
      <c r="E322" s="7">
        <f>Données!I54</f>
        <v>44195</v>
      </c>
      <c r="F322" s="6" t="str">
        <f>INDEX(Données!$F$2:$L$54,MATCH('#4'!E322,Données!$G$2:$G$54,1),1)</f>
        <v>53</v>
      </c>
      <c r="G322" s="18" t="str">
        <f t="shared" si="9"/>
        <v>PS-4</v>
      </c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1"/>
      <c r="W322" s="75"/>
      <c r="X322" s="75"/>
      <c r="Y322" s="75"/>
      <c r="Z322" s="96">
        <f>SUM(Tableau15[[#This Row],[A-1]:[G-5]])</f>
        <v>0</v>
      </c>
      <c r="AA322" s="96" t="str">
        <f>IF(AND(Z322&gt;0,Tableau15[[#This Row],[CDS]]=""),"Oui","Non")</f>
        <v>Non</v>
      </c>
      <c r="AB322" s="75"/>
      <c r="AC322" s="75"/>
      <c r="AD322" s="75"/>
      <c r="AE322" s="75"/>
      <c r="AF322" s="75"/>
      <c r="AG322" s="75"/>
      <c r="AH322" s="75"/>
      <c r="AI322" s="75"/>
      <c r="AJ322" s="81"/>
      <c r="AK322" s="75"/>
      <c r="AL322" s="75"/>
    </row>
    <row r="323" spans="1:38" ht="15.75" hidden="1" thickBot="1" x14ac:dyDescent="0.3">
      <c r="A323" s="75"/>
      <c r="B323" s="75"/>
      <c r="C323" s="35">
        <f>INDEX(Données!$F$2:$L$54,MATCH(F323,Données!$F$2:$F$54,0),2)</f>
        <v>44193</v>
      </c>
      <c r="D323" s="29" t="str">
        <f t="shared" si="8"/>
        <v>#4</v>
      </c>
      <c r="E323" s="7">
        <f>Données!J54</f>
        <v>44196</v>
      </c>
      <c r="F323" s="6" t="str">
        <f>INDEX(Données!$F$2:$L$54,MATCH('#4'!E323,Données!$G$2:$G$54,1),1)</f>
        <v>53</v>
      </c>
      <c r="G323" s="18" t="str">
        <f t="shared" si="9"/>
        <v>PS-4</v>
      </c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1"/>
      <c r="W323" s="75"/>
      <c r="X323" s="75"/>
      <c r="Y323" s="75"/>
      <c r="Z323" s="96">
        <f>SUM(Tableau15[[#This Row],[A-1]:[G-5]])</f>
        <v>0</v>
      </c>
      <c r="AA323" s="96" t="str">
        <f>IF(AND(Z323&gt;0,Tableau15[[#This Row],[CDS]]=""),"Oui","Non")</f>
        <v>Non</v>
      </c>
      <c r="AB323" s="75"/>
      <c r="AC323" s="75"/>
      <c r="AD323" s="75"/>
      <c r="AE323" s="75"/>
      <c r="AF323" s="75"/>
      <c r="AG323" s="75"/>
      <c r="AH323" s="75"/>
      <c r="AI323" s="75"/>
      <c r="AJ323" s="81"/>
      <c r="AK323" s="75"/>
      <c r="AL323" s="75"/>
    </row>
    <row r="324" spans="1:38" ht="15.75" hidden="1" thickBot="1" x14ac:dyDescent="0.3">
      <c r="A324" s="75"/>
      <c r="B324" s="75"/>
      <c r="C324" s="35">
        <f>INDEX(Données!$F$2:$L$54,MATCH(F324,Données!$F$2:$F$54,0),2)</f>
        <v>44193</v>
      </c>
      <c r="D324" s="29" t="str">
        <f t="shared" si="8"/>
        <v>#4</v>
      </c>
      <c r="E324" s="7">
        <f>Données!K54</f>
        <v>44197</v>
      </c>
      <c r="F324" s="6" t="str">
        <f>INDEX(Données!$F$2:$L$54,MATCH('#4'!E324,Données!$G$2:$G$54,1),1)</f>
        <v>53</v>
      </c>
      <c r="G324" s="18" t="str">
        <f t="shared" si="9"/>
        <v>PS-4</v>
      </c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1"/>
      <c r="W324" s="75"/>
      <c r="X324" s="75"/>
      <c r="Y324" s="75"/>
      <c r="Z324" s="96">
        <f>SUM(Tableau15[[#This Row],[A-1]:[G-5]])</f>
        <v>0</v>
      </c>
      <c r="AA324" s="96" t="str">
        <f>IF(AND(Z324&gt;0,Tableau15[[#This Row],[CDS]]=""),"Oui","Non")</f>
        <v>Non</v>
      </c>
      <c r="AB324" s="75"/>
      <c r="AC324" s="75"/>
      <c r="AD324" s="75"/>
      <c r="AE324" s="75"/>
      <c r="AF324" s="75"/>
      <c r="AG324" s="75"/>
      <c r="AH324" s="75"/>
      <c r="AI324" s="75"/>
      <c r="AJ324" s="81"/>
      <c r="AK324" s="75"/>
      <c r="AL324" s="75"/>
    </row>
    <row r="325" spans="1:38" ht="15.75" hidden="1" thickBot="1" x14ac:dyDescent="0.3">
      <c r="A325" s="75"/>
      <c r="B325" s="75"/>
      <c r="C325" s="35">
        <f>INDEX(Données!$F$2:$L$54,MATCH(F325,Données!$F$2:$F$54,0),2)</f>
        <v>44193</v>
      </c>
      <c r="D325" s="29" t="str">
        <f t="shared" si="8"/>
        <v>#4</v>
      </c>
      <c r="E325" s="8">
        <f>Données!L54</f>
        <v>44198</v>
      </c>
      <c r="F325" s="9" t="str">
        <f>INDEX(Données!$F$2:$L$54,MATCH('#4'!E325,Données!$G$2:$G$54,1),1)</f>
        <v>53</v>
      </c>
      <c r="G325" s="18" t="str">
        <f t="shared" si="9"/>
        <v>PS-4</v>
      </c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3"/>
      <c r="W325" s="75"/>
      <c r="X325" s="75"/>
      <c r="Y325" s="75"/>
      <c r="Z325" s="96">
        <f>SUM(Tableau15[[#This Row],[A-1]:[G-5]])</f>
        <v>0</v>
      </c>
      <c r="AA325" s="96" t="str">
        <f>IF(AND(Z325&gt;0,Tableau15[[#This Row],[CDS]]=""),"Oui","Non")</f>
        <v>Non</v>
      </c>
      <c r="AB325" s="75"/>
      <c r="AC325" s="75"/>
      <c r="AD325" s="75"/>
      <c r="AE325" s="75"/>
      <c r="AF325" s="75"/>
      <c r="AG325" s="75"/>
      <c r="AH325" s="75"/>
      <c r="AI325" s="75"/>
      <c r="AJ325" s="81"/>
      <c r="AK325" s="75"/>
      <c r="AL325" s="75"/>
    </row>
    <row r="326" spans="1:38" x14ac:dyDescent="0.25">
      <c r="A326" s="75"/>
      <c r="B326" s="75"/>
      <c r="C326" s="51"/>
      <c r="D326" s="31"/>
      <c r="E326" s="157" t="s">
        <v>84</v>
      </c>
      <c r="F326" s="158"/>
      <c r="G326" s="159"/>
      <c r="H326" s="11">
        <f>SUMIF(Tableau15[CDS],"S.O.",Tableau15[A-1])</f>
        <v>0</v>
      </c>
      <c r="I326" s="11">
        <f>SUMIF(Tableau15[CDS],"S.O.",Tableau15[B-1])</f>
        <v>0</v>
      </c>
      <c r="J326" s="11">
        <f>SUMIF(Tableau15[CDS],"S.O.",Tableau15[B-2])</f>
        <v>0</v>
      </c>
      <c r="K326" s="11">
        <f>SUMIF(Tableau15[CDS],"S.O.",Tableau15[C-1])</f>
        <v>0</v>
      </c>
      <c r="L326" s="11">
        <f>SUMIF(Tableau15[CDS],"S.O.",Tableau15[C-2])</f>
        <v>0</v>
      </c>
      <c r="M326" s="11">
        <f>SUMIF(Tableau15[CDS],"S.O.",Tableau15[D-1])</f>
        <v>0</v>
      </c>
      <c r="N326" s="11">
        <f>SUMIF(Tableau15[CDS],"S.O.",Tableau15[D-2])</f>
        <v>0</v>
      </c>
      <c r="O326" s="11">
        <f>SUMIF(Tableau15[CDS],"S.O.",Tableau15[E-1])</f>
        <v>0</v>
      </c>
      <c r="P326" s="11">
        <f>SUMIF(Tableau15[CDS],"S.O.",Tableau15[E2])</f>
        <v>0</v>
      </c>
      <c r="Q326" s="11">
        <f>SUMIF(Tableau15[CDS],"S.O.",Tableau15[G-1])</f>
        <v>0</v>
      </c>
      <c r="R326" s="11">
        <f>SUMIF(Tableau15[CDS],"S.O.",Tableau15[G-2])</f>
        <v>0</v>
      </c>
      <c r="S326" s="11">
        <f>SUMIF(Tableau15[CDS],"S.O.",Tableau15[G-3])</f>
        <v>0</v>
      </c>
      <c r="T326" s="11">
        <f>SUMIF(Tableau15[CDS],"S.O.",Tableau15[G-4])</f>
        <v>0</v>
      </c>
      <c r="U326" s="11">
        <f>SUMIF(Tableau15[CDS],"S.O.",Tableau15[G-5])</f>
        <v>0</v>
      </c>
      <c r="V326" s="52"/>
      <c r="W326" s="75"/>
      <c r="X326" s="75"/>
      <c r="Y326" s="75"/>
      <c r="Z326" s="96"/>
      <c r="AA326" s="96"/>
      <c r="AB326" s="75"/>
      <c r="AC326" s="75"/>
      <c r="AD326" s="75"/>
      <c r="AE326" s="75"/>
      <c r="AF326" s="75"/>
      <c r="AG326" s="75"/>
      <c r="AH326" s="75"/>
      <c r="AI326" s="75"/>
      <c r="AJ326" s="81"/>
      <c r="AK326" s="75"/>
      <c r="AL326" s="75"/>
    </row>
    <row r="327" spans="1:38" x14ac:dyDescent="0.25">
      <c r="A327" s="75"/>
      <c r="B327" s="75"/>
      <c r="C327" s="8"/>
      <c r="D327" s="30"/>
      <c r="E327" s="57" t="s">
        <v>121</v>
      </c>
      <c r="F327" s="53"/>
      <c r="G327" s="87"/>
      <c r="H327" s="148">
        <f>SUMIF(Tableau15[CDS],"PS-1",Tableau15[A-1])</f>
        <v>0</v>
      </c>
      <c r="I327" s="148">
        <f>SUMIF(Tableau15[CDS],"PS-1",Tableau15[B-1])</f>
        <v>0</v>
      </c>
      <c r="J327" s="148">
        <f>SUMIF(Tableau15[CDS],"PS-1",Tableau15[B-2])</f>
        <v>0</v>
      </c>
      <c r="K327" s="148">
        <f>SUMIF(Tableau15[CDS],"PS-1",Tableau15[C-1])</f>
        <v>0</v>
      </c>
      <c r="L327" s="148">
        <f>SUMIF(Tableau15[CDS],"PS-1",Tableau15[C-2])</f>
        <v>0</v>
      </c>
      <c r="M327" s="148">
        <f>SUMIF(Tableau15[CDS],"PS-1",Tableau15[D-1])</f>
        <v>0</v>
      </c>
      <c r="N327" s="148">
        <f>SUMIF(Tableau15[CDS],"PS-1",Tableau15[D-2])</f>
        <v>0</v>
      </c>
      <c r="O327" s="148">
        <f>SUMIF(Tableau15[CDS],"PS-1",Tableau15[E-1])</f>
        <v>0</v>
      </c>
      <c r="P327" s="148">
        <f>SUMIF(Tableau15[CDS],"PS-1",Tableau15[E2])</f>
        <v>0</v>
      </c>
      <c r="Q327" s="148">
        <f>SUMIF(Tableau15[CDS],"PS-1",Tableau15[G-1])</f>
        <v>0</v>
      </c>
      <c r="R327" s="148">
        <f>SUMIF(Tableau15[CDS],"PS-1",Tableau15[G-2])</f>
        <v>0</v>
      </c>
      <c r="S327" s="148">
        <f>SUMIF(Tableau15[CDS],"PS-1",Tableau15[G-3])</f>
        <v>0</v>
      </c>
      <c r="T327" s="148">
        <f>SUMIF(Tableau15[CDS],"PS-1",Tableau15[G-4])</f>
        <v>0</v>
      </c>
      <c r="U327" s="148">
        <f>SUMIF(Tableau15[CDS],"PS-1",Tableau15[G-5])</f>
        <v>0</v>
      </c>
      <c r="V327" s="90"/>
      <c r="W327" s="75"/>
      <c r="X327" s="75"/>
      <c r="Y327" s="75"/>
      <c r="Z327" s="96" t="e">
        <f>SUM(Tableau15[[#This Row],[A-1]:[G-5]])</f>
        <v>#VALUE!</v>
      </c>
      <c r="AA327" s="96" t="e">
        <f>IF(AND(Z327&lt;0,Tableau15[[#This Row],[CDS]]=""),"Oui","Non")</f>
        <v>#VALUE!</v>
      </c>
      <c r="AB327" s="75"/>
      <c r="AC327" s="75"/>
      <c r="AD327" s="75"/>
      <c r="AE327" s="75"/>
      <c r="AF327" s="75"/>
      <c r="AG327" s="75"/>
      <c r="AH327" s="75"/>
      <c r="AI327" s="75"/>
      <c r="AJ327" s="81"/>
      <c r="AK327" s="75"/>
      <c r="AL327" s="75"/>
    </row>
    <row r="328" spans="1:38" x14ac:dyDescent="0.25">
      <c r="A328" s="75"/>
      <c r="B328" s="75"/>
      <c r="C328" s="8"/>
      <c r="D328" s="30"/>
      <c r="E328" s="57" t="s">
        <v>122</v>
      </c>
      <c r="F328" s="53"/>
      <c r="G328" s="87"/>
      <c r="H328" s="148">
        <f>SUMIF(Tableau15[CDS],"PS-2",Tableau15[A-1])</f>
        <v>0</v>
      </c>
      <c r="I328" s="148">
        <f>SUMIF(Tableau15[CDS],"PS-2",Tableau15[B-1])</f>
        <v>0</v>
      </c>
      <c r="J328" s="148">
        <f>SUMIF(Tableau15[CDS],"PS-2",Tableau15[B-2])</f>
        <v>0</v>
      </c>
      <c r="K328" s="148">
        <f>SUMIF(Tableau15[CDS],"PS-2",Tableau15[C-1])</f>
        <v>0</v>
      </c>
      <c r="L328" s="148">
        <f>SUMIF(Tableau15[CDS],"PS-2",Tableau15[C-2])</f>
        <v>0</v>
      </c>
      <c r="M328" s="148">
        <f>SUMIF(Tableau15[CDS],"PS-2",Tableau15[D-1])</f>
        <v>0</v>
      </c>
      <c r="N328" s="148">
        <f>SUMIF(Tableau15[CDS],"PS-2",Tableau15[D-2])</f>
        <v>0</v>
      </c>
      <c r="O328" s="148">
        <f>SUMIF(Tableau15[CDS],"PS-2",Tableau15[E-1])</f>
        <v>0</v>
      </c>
      <c r="P328" s="148">
        <f>SUMIF(Tableau15[CDS],"PS-2",Tableau15[E2])</f>
        <v>0</v>
      </c>
      <c r="Q328" s="148">
        <f>SUMIF(Tableau15[CDS],"PS-2",Tableau15[G-1])</f>
        <v>0</v>
      </c>
      <c r="R328" s="148">
        <f>SUMIF(Tableau15[CDS],"PS-2",Tableau15[G-2])</f>
        <v>0</v>
      </c>
      <c r="S328" s="148">
        <f>SUMIF(Tableau15[CDS],"PS-2",Tableau15[G-3])</f>
        <v>0</v>
      </c>
      <c r="T328" s="148">
        <f>SUMIF(Tableau15[CDS],"PS-2",Tableau15[G-4])</f>
        <v>0</v>
      </c>
      <c r="U328" s="148">
        <f>SUMIF(Tableau15[CDS],"PS-2",Tableau15[G-5])</f>
        <v>0</v>
      </c>
      <c r="V328" s="90"/>
      <c r="W328" s="75"/>
      <c r="X328" s="75"/>
      <c r="Y328" s="75"/>
      <c r="Z328" s="96" t="e">
        <f>SUM(Tableau15[[#This Row],[A-1]:[G-5]])</f>
        <v>#VALUE!</v>
      </c>
      <c r="AA328" s="96" t="e">
        <f>IF(AND(Z328&lt;0,Tableau15[[#This Row],[CDS]]=""),"Oui","Non")</f>
        <v>#VALUE!</v>
      </c>
      <c r="AB328" s="75"/>
      <c r="AC328" s="75"/>
      <c r="AD328" s="75"/>
      <c r="AE328" s="75"/>
      <c r="AF328" s="75"/>
      <c r="AG328" s="75"/>
      <c r="AH328" s="75"/>
      <c r="AI328" s="75"/>
      <c r="AJ328" s="81"/>
      <c r="AK328" s="75"/>
      <c r="AL328" s="75"/>
    </row>
    <row r="329" spans="1:38" ht="15.75" thickBot="1" x14ac:dyDescent="0.3">
      <c r="A329" s="75"/>
      <c r="B329" s="75"/>
      <c r="C329" s="35"/>
      <c r="D329" s="29"/>
      <c r="E329" s="59" t="s">
        <v>123</v>
      </c>
      <c r="F329" s="60"/>
      <c r="G329" s="88"/>
      <c r="H329" s="149">
        <f>SUMIF(Tableau15[CDS],"PS-4",Tableau15[A-1])</f>
        <v>0</v>
      </c>
      <c r="I329" s="149">
        <f>SUMIF(Tableau15[CDS],"PS-4",Tableau15[B-1])</f>
        <v>0</v>
      </c>
      <c r="J329" s="148">
        <f>SUMIF(Tableau15[CDS],"PS-4",Tableau15[B-2])</f>
        <v>0</v>
      </c>
      <c r="K329" s="149">
        <f>SUMIF(Tableau15[CDS],"PS-4",Tableau15[C-1])</f>
        <v>0</v>
      </c>
      <c r="L329" s="148">
        <f>SUMIF(Tableau15[CDS],"PS-4",Tableau15[C-2])</f>
        <v>0</v>
      </c>
      <c r="M329" s="148">
        <f>SUMIF(Tableau15[CDS],"PS-4",Tableau15[D-1])</f>
        <v>0</v>
      </c>
      <c r="N329" s="148">
        <f>SUMIF(Tableau15[CDS],"PS-4",Tableau15[D-2])</f>
        <v>0</v>
      </c>
      <c r="O329" s="149">
        <f>SUMIF(Tableau15[CDS],"PS-4",Tableau15[E-1])</f>
        <v>0</v>
      </c>
      <c r="P329" s="149">
        <f>SUMIF(Tableau15[CDS],"PS-4",Tableau15[E2])</f>
        <v>0</v>
      </c>
      <c r="Q329" s="148">
        <f>SUMIF(Tableau15[CDS],"PS-4",Tableau15[G-1])</f>
        <v>0</v>
      </c>
      <c r="R329" s="148">
        <f>SUMIF(Tableau15[CDS],"PS-4",Tableau15[G-2])</f>
        <v>0</v>
      </c>
      <c r="S329" s="148">
        <f>SUMIF(Tableau15[CDS],"PS-4",Tableau15[G-3])</f>
        <v>0</v>
      </c>
      <c r="T329" s="148">
        <f>SUMIF(Tableau15[CDS],"PS-4",Tableau15[G-4])</f>
        <v>0</v>
      </c>
      <c r="U329" s="149">
        <f>SUMIF(Tableau15[CDS],"PS-4",Tableau15[G-5])</f>
        <v>0</v>
      </c>
      <c r="V329" s="91"/>
      <c r="W329" s="75"/>
      <c r="X329" s="75"/>
      <c r="Y329" s="75"/>
      <c r="Z329" s="96" t="e">
        <f>SUM(Tableau15[[#This Row],[A-1]:[G-5]])</f>
        <v>#VALUE!</v>
      </c>
      <c r="AA329" s="96" t="e">
        <f>IF(AND(Z329&lt;0,Tableau15[[#This Row],[CDS]]=""),"Oui","Non")</f>
        <v>#VALUE!</v>
      </c>
      <c r="AB329" s="75"/>
      <c r="AC329" s="75"/>
      <c r="AD329" s="75"/>
      <c r="AE329" s="75"/>
      <c r="AF329" s="75"/>
      <c r="AG329" s="75"/>
      <c r="AH329" s="75"/>
      <c r="AI329" s="75"/>
      <c r="AJ329" s="81"/>
      <c r="AK329" s="75"/>
      <c r="AL329" s="75"/>
    </row>
    <row r="330" spans="1:38" x14ac:dyDescent="0.25">
      <c r="A330" s="75"/>
      <c r="B330" s="75"/>
      <c r="C330" s="35"/>
      <c r="D330" s="31"/>
      <c r="E330" s="61" t="s">
        <v>16</v>
      </c>
      <c r="F330" s="62"/>
      <c r="G330" s="89"/>
      <c r="H330" s="63">
        <f t="shared" ref="H330:U330" si="10">SUM(H326:H329)</f>
        <v>0</v>
      </c>
      <c r="I330" s="63">
        <f t="shared" si="10"/>
        <v>0</v>
      </c>
      <c r="J330" s="63">
        <f>SUM(J326:J329)</f>
        <v>0</v>
      </c>
      <c r="K330" s="63">
        <f t="shared" si="10"/>
        <v>0</v>
      </c>
      <c r="L330" s="63">
        <f t="shared" si="10"/>
        <v>0</v>
      </c>
      <c r="M330" s="63">
        <f t="shared" si="10"/>
        <v>0</v>
      </c>
      <c r="N330" s="63">
        <f t="shared" si="10"/>
        <v>0</v>
      </c>
      <c r="O330" s="63">
        <f t="shared" si="10"/>
        <v>0</v>
      </c>
      <c r="P330" s="63">
        <f t="shared" si="10"/>
        <v>0</v>
      </c>
      <c r="Q330" s="63">
        <f t="shared" si="10"/>
        <v>0</v>
      </c>
      <c r="R330" s="63">
        <f t="shared" si="10"/>
        <v>0</v>
      </c>
      <c r="S330" s="63">
        <f t="shared" si="10"/>
        <v>0</v>
      </c>
      <c r="T330" s="63">
        <f t="shared" si="10"/>
        <v>0</v>
      </c>
      <c r="U330" s="63">
        <f t="shared" si="10"/>
        <v>0</v>
      </c>
      <c r="V330" s="92"/>
      <c r="W330" s="75"/>
      <c r="X330" s="75"/>
      <c r="Y330" s="75"/>
      <c r="Z330" s="96"/>
      <c r="AA330" s="96"/>
      <c r="AB330" s="75"/>
      <c r="AC330" s="75"/>
      <c r="AD330" s="75"/>
      <c r="AE330" s="75"/>
      <c r="AF330" s="75"/>
      <c r="AG330" s="75"/>
      <c r="AH330" s="75"/>
      <c r="AI330" s="75"/>
      <c r="AJ330" s="81"/>
      <c r="AK330" s="75"/>
      <c r="AL330" s="75"/>
    </row>
    <row r="331" spans="1:38" x14ac:dyDescent="0.25">
      <c r="A331" s="75"/>
      <c r="B331" s="75"/>
      <c r="C331" s="36"/>
      <c r="D331" s="37"/>
      <c r="E331" s="58" t="s">
        <v>17</v>
      </c>
      <c r="F331" s="54"/>
      <c r="G331" s="87"/>
      <c r="H331" s="55">
        <f>H5-H330</f>
        <v>10</v>
      </c>
      <c r="I331" s="186">
        <f>I5-J330</f>
        <v>10</v>
      </c>
      <c r="J331" s="187"/>
      <c r="K331" s="186">
        <f>K5-L330</f>
        <v>10</v>
      </c>
      <c r="L331" s="187"/>
      <c r="M331" s="55">
        <f>M5-M330</f>
        <v>10</v>
      </c>
      <c r="N331" s="55">
        <f>M5-N330</f>
        <v>10</v>
      </c>
      <c r="O331" s="186">
        <f>O5-(O330+P330)</f>
        <v>10</v>
      </c>
      <c r="P331" s="187"/>
      <c r="Q331" s="186">
        <f>Q5-SUM(Q330:U330)</f>
        <v>10</v>
      </c>
      <c r="R331" s="190"/>
      <c r="S331" s="190"/>
      <c r="T331" s="190"/>
      <c r="U331" s="187"/>
      <c r="V331" s="90"/>
      <c r="W331" s="75"/>
      <c r="X331" s="75"/>
      <c r="Y331" s="75"/>
      <c r="Z331" s="96"/>
      <c r="AA331" s="96"/>
      <c r="AB331" s="75"/>
      <c r="AC331" s="75"/>
      <c r="AD331" s="75"/>
      <c r="AE331" s="75"/>
      <c r="AF331" s="75"/>
      <c r="AG331" s="75"/>
      <c r="AH331" s="75"/>
      <c r="AI331" s="75"/>
      <c r="AJ331" s="81"/>
      <c r="AK331" s="75"/>
      <c r="AL331" s="75"/>
    </row>
    <row r="332" spans="1:38" ht="30" x14ac:dyDescent="0.25">
      <c r="A332" s="75"/>
      <c r="B332" s="75"/>
      <c r="C332" s="27"/>
      <c r="D332" s="27"/>
      <c r="E332" s="143" t="s">
        <v>86</v>
      </c>
      <c r="F332" s="53"/>
      <c r="G332" s="87"/>
      <c r="H332" s="56">
        <f ca="1">H330/((H5/365)*Données!$B$3)</f>
        <v>0</v>
      </c>
      <c r="I332" s="188">
        <f ca="1">J330/((I5/365)*Données!$B$3)</f>
        <v>0</v>
      </c>
      <c r="J332" s="189"/>
      <c r="K332" s="188">
        <f ca="1">L330/((K5/365)*Données!$B$3)</f>
        <v>0</v>
      </c>
      <c r="L332" s="189"/>
      <c r="M332" s="56">
        <f ca="1">M330/((M5/365)*Données!$B$3)</f>
        <v>0</v>
      </c>
      <c r="N332" s="56">
        <f ca="1">N330/((N5/365)*Données!$B$3)</f>
        <v>0</v>
      </c>
      <c r="O332" s="188">
        <f ca="1">(O330+P330)/((O5/365)*Données!$B$3)</f>
        <v>0</v>
      </c>
      <c r="P332" s="189"/>
      <c r="Q332" s="188">
        <f ca="1">SUM(Q330:U330)/((Q5/365)*Données!$B$3)</f>
        <v>0</v>
      </c>
      <c r="R332" s="191"/>
      <c r="S332" s="191"/>
      <c r="T332" s="191"/>
      <c r="U332" s="189"/>
      <c r="V332" s="93"/>
      <c r="W332" s="75"/>
      <c r="X332" s="75"/>
      <c r="Y332" s="75"/>
      <c r="Z332" s="96"/>
      <c r="AA332" s="96"/>
      <c r="AB332" s="75"/>
      <c r="AC332" s="75"/>
      <c r="AD332" s="75"/>
      <c r="AE332" s="75"/>
      <c r="AF332" s="75"/>
      <c r="AG332" s="75"/>
      <c r="AH332" s="75"/>
      <c r="AI332" s="75"/>
      <c r="AJ332" s="81"/>
      <c r="AK332" s="75"/>
      <c r="AL332" s="75"/>
    </row>
    <row r="333" spans="1:38" ht="30" x14ac:dyDescent="0.25">
      <c r="A333" s="75"/>
      <c r="B333" s="75"/>
      <c r="C333" s="27"/>
      <c r="D333" s="27"/>
      <c r="E333" s="143" t="s">
        <v>87</v>
      </c>
      <c r="F333" s="53"/>
      <c r="G333" s="87"/>
      <c r="H333" s="56">
        <f>H330/H5</f>
        <v>0</v>
      </c>
      <c r="I333" s="188">
        <f>J330/I5</f>
        <v>0</v>
      </c>
      <c r="J333" s="189"/>
      <c r="K333" s="188">
        <f>L330/K5</f>
        <v>0</v>
      </c>
      <c r="L333" s="189"/>
      <c r="M333" s="56">
        <f>M330/M5</f>
        <v>0</v>
      </c>
      <c r="N333" s="56">
        <f>N330/M5</f>
        <v>0</v>
      </c>
      <c r="O333" s="188">
        <f>(O330+P330)/O5</f>
        <v>0</v>
      </c>
      <c r="P333" s="189"/>
      <c r="Q333" s="188">
        <f>SUM(Q330:U330)/Q5</f>
        <v>0</v>
      </c>
      <c r="R333" s="191"/>
      <c r="S333" s="191"/>
      <c r="T333" s="191"/>
      <c r="U333" s="189"/>
      <c r="V333" s="93"/>
      <c r="W333" s="75"/>
      <c r="X333" s="75"/>
      <c r="Y333" s="75"/>
      <c r="Z333" s="96"/>
      <c r="AA333" s="96"/>
      <c r="AB333" s="75"/>
      <c r="AC333" s="75"/>
      <c r="AD333" s="75"/>
      <c r="AE333" s="75"/>
      <c r="AF333" s="75"/>
      <c r="AG333" s="75"/>
      <c r="AH333" s="75"/>
      <c r="AI333" s="75"/>
      <c r="AJ333" s="81"/>
      <c r="AK333" s="75"/>
      <c r="AL333" s="75"/>
    </row>
    <row r="334" spans="1:38" s="49" customFormat="1" x14ac:dyDescent="0.25">
      <c r="A334" s="80"/>
      <c r="B334" s="82"/>
      <c r="C334" s="83"/>
      <c r="D334" s="83"/>
      <c r="E334" s="83"/>
      <c r="F334" s="80"/>
      <c r="G334" s="80"/>
      <c r="H334" s="80"/>
      <c r="I334" s="80"/>
      <c r="J334" s="80"/>
      <c r="K334" s="80"/>
      <c r="L334" s="80"/>
      <c r="M334" s="80"/>
      <c r="N334" s="80"/>
      <c r="O334" s="80"/>
      <c r="P334" s="80"/>
      <c r="Q334" s="80"/>
      <c r="R334" s="80"/>
      <c r="S334" s="80"/>
      <c r="T334" s="80"/>
      <c r="U334" s="80"/>
      <c r="V334" s="84"/>
      <c r="W334" s="80"/>
      <c r="X334" s="80"/>
      <c r="Y334" s="80"/>
      <c r="Z334" s="98"/>
      <c r="AA334" s="98"/>
      <c r="AB334" s="80"/>
      <c r="AC334" s="80"/>
      <c r="AD334" s="80"/>
      <c r="AE334" s="80"/>
      <c r="AF334" s="80"/>
      <c r="AG334" s="80"/>
      <c r="AH334" s="80"/>
      <c r="AI334" s="80"/>
      <c r="AJ334" s="95"/>
      <c r="AK334" s="80"/>
      <c r="AL334" s="80"/>
    </row>
    <row r="335" spans="1:38" s="48" customFormat="1" x14ac:dyDescent="0.25">
      <c r="A335" s="75"/>
      <c r="B335" s="82"/>
      <c r="C335" s="76"/>
      <c r="D335" s="76"/>
      <c r="E335" s="75"/>
      <c r="F335" s="75"/>
      <c r="G335" s="75"/>
      <c r="H335" s="75"/>
      <c r="I335" s="75"/>
      <c r="J335" s="75"/>
      <c r="K335" s="75"/>
      <c r="L335" s="75"/>
      <c r="M335" s="75"/>
      <c r="N335" s="75"/>
      <c r="O335" s="75"/>
      <c r="P335" s="75"/>
      <c r="Q335" s="75"/>
      <c r="R335" s="75"/>
      <c r="S335" s="75"/>
      <c r="T335" s="75"/>
      <c r="U335" s="75"/>
      <c r="V335" s="77"/>
      <c r="W335" s="75"/>
      <c r="X335" s="75"/>
      <c r="Y335" s="75"/>
      <c r="Z335" s="96"/>
      <c r="AA335" s="96"/>
      <c r="AB335" s="75"/>
      <c r="AC335" s="75"/>
      <c r="AD335" s="75"/>
      <c r="AE335" s="75"/>
      <c r="AF335" s="75"/>
      <c r="AG335" s="75"/>
      <c r="AH335" s="75"/>
      <c r="AI335" s="75"/>
      <c r="AJ335" s="81"/>
      <c r="AK335" s="75"/>
      <c r="AL335" s="75"/>
    </row>
    <row r="336" spans="1:38" s="48" customFormat="1" x14ac:dyDescent="0.25">
      <c r="A336" s="75"/>
      <c r="B336" s="82"/>
      <c r="C336" s="76"/>
      <c r="D336" s="76"/>
      <c r="E336" s="75"/>
      <c r="F336" s="75"/>
      <c r="G336" s="75"/>
      <c r="H336" s="75"/>
      <c r="I336" s="75"/>
      <c r="J336" s="75"/>
      <c r="K336" s="75"/>
      <c r="L336" s="75"/>
      <c r="M336" s="75"/>
      <c r="N336" s="75"/>
      <c r="O336" s="75"/>
      <c r="P336" s="75"/>
      <c r="Q336" s="75"/>
      <c r="R336" s="75"/>
      <c r="S336" s="75"/>
      <c r="T336" s="75"/>
      <c r="U336" s="75"/>
      <c r="V336" s="77"/>
      <c r="W336" s="75"/>
      <c r="X336" s="75"/>
      <c r="Y336" s="75"/>
      <c r="Z336" s="96"/>
      <c r="AA336" s="96"/>
      <c r="AB336" s="75"/>
      <c r="AC336" s="75"/>
      <c r="AD336" s="75"/>
      <c r="AE336" s="75"/>
      <c r="AF336" s="75"/>
      <c r="AG336" s="75"/>
      <c r="AH336" s="75"/>
      <c r="AI336" s="75"/>
      <c r="AJ336" s="81"/>
      <c r="AK336" s="75"/>
      <c r="AL336" s="75"/>
    </row>
    <row r="337" spans="1:38" s="48" customFormat="1" x14ac:dyDescent="0.25">
      <c r="A337" s="75"/>
      <c r="B337" s="82"/>
      <c r="C337" s="76"/>
      <c r="D337" s="76"/>
      <c r="E337" s="75"/>
      <c r="F337" s="75"/>
      <c r="G337" s="75"/>
      <c r="H337" s="75"/>
      <c r="I337" s="75"/>
      <c r="J337" s="75"/>
      <c r="K337" s="75"/>
      <c r="L337" s="75"/>
      <c r="M337" s="75"/>
      <c r="N337" s="75"/>
      <c r="O337" s="75"/>
      <c r="P337" s="75"/>
      <c r="Q337" s="75"/>
      <c r="R337" s="75"/>
      <c r="S337" s="75"/>
      <c r="T337" s="75"/>
      <c r="U337" s="75"/>
      <c r="V337" s="77"/>
      <c r="W337" s="75"/>
      <c r="X337" s="75"/>
      <c r="Y337" s="75"/>
      <c r="Z337" s="96"/>
      <c r="AA337" s="96"/>
      <c r="AB337" s="75"/>
      <c r="AC337" s="75"/>
      <c r="AD337" s="75"/>
      <c r="AE337" s="75"/>
      <c r="AF337" s="75"/>
      <c r="AG337" s="75"/>
      <c r="AH337" s="75"/>
      <c r="AI337" s="75"/>
      <c r="AJ337" s="81"/>
      <c r="AK337" s="75"/>
      <c r="AL337" s="75"/>
    </row>
    <row r="338" spans="1:38" s="48" customFormat="1" x14ac:dyDescent="0.25">
      <c r="A338" s="75"/>
      <c r="B338" s="82"/>
      <c r="C338" s="76"/>
      <c r="D338" s="76"/>
      <c r="E338" s="75"/>
      <c r="F338" s="75"/>
      <c r="G338" s="75"/>
      <c r="H338" s="75"/>
      <c r="I338" s="75"/>
      <c r="J338" s="75"/>
      <c r="K338" s="75"/>
      <c r="L338" s="75"/>
      <c r="M338" s="75"/>
      <c r="N338" s="75"/>
      <c r="O338" s="75"/>
      <c r="P338" s="75"/>
      <c r="Q338" s="75"/>
      <c r="R338" s="75"/>
      <c r="S338" s="75"/>
      <c r="T338" s="75"/>
      <c r="U338" s="75"/>
      <c r="V338" s="77"/>
      <c r="W338" s="75"/>
      <c r="X338" s="75"/>
      <c r="Y338" s="75"/>
      <c r="Z338" s="96"/>
      <c r="AA338" s="96"/>
      <c r="AB338" s="75"/>
      <c r="AC338" s="75"/>
      <c r="AD338" s="75"/>
      <c r="AE338" s="75"/>
      <c r="AF338" s="75"/>
      <c r="AG338" s="75"/>
      <c r="AH338" s="75"/>
      <c r="AI338" s="75"/>
      <c r="AJ338" s="81"/>
      <c r="AK338" s="75"/>
      <c r="AL338" s="75"/>
    </row>
    <row r="339" spans="1:38" s="48" customFormat="1" x14ac:dyDescent="0.25">
      <c r="A339" s="75"/>
      <c r="B339" s="82"/>
      <c r="C339" s="85"/>
      <c r="D339" s="85"/>
      <c r="E339" s="75"/>
      <c r="F339" s="75"/>
      <c r="G339" s="75"/>
      <c r="H339" s="75"/>
      <c r="I339" s="75"/>
      <c r="J339" s="75"/>
      <c r="K339" s="75"/>
      <c r="L339" s="75"/>
      <c r="M339" s="75"/>
      <c r="N339" s="75"/>
      <c r="O339" s="75"/>
      <c r="P339" s="75"/>
      <c r="Q339" s="75"/>
      <c r="R339" s="75"/>
      <c r="S339" s="75"/>
      <c r="T339" s="75"/>
      <c r="U339" s="75"/>
      <c r="V339" s="77"/>
      <c r="W339" s="75"/>
      <c r="X339" s="75"/>
      <c r="Y339" s="75"/>
      <c r="Z339" s="78"/>
      <c r="AA339" s="78"/>
      <c r="AB339" s="75"/>
      <c r="AC339" s="75"/>
      <c r="AD339" s="75"/>
      <c r="AE339" s="75"/>
      <c r="AF339" s="75"/>
      <c r="AG339" s="75"/>
      <c r="AH339" s="75"/>
      <c r="AI339" s="75"/>
      <c r="AJ339" s="81"/>
      <c r="AK339" s="75"/>
      <c r="AL339" s="75"/>
    </row>
    <row r="340" spans="1:38" s="48" customFormat="1" x14ac:dyDescent="0.25">
      <c r="A340" s="75"/>
      <c r="B340" s="82"/>
      <c r="C340" s="76"/>
      <c r="D340" s="76"/>
      <c r="E340" s="75"/>
      <c r="F340" s="75"/>
      <c r="G340" s="75"/>
      <c r="H340" s="75"/>
      <c r="I340" s="75"/>
      <c r="J340" s="75"/>
      <c r="K340" s="75"/>
      <c r="L340" s="75"/>
      <c r="M340" s="75"/>
      <c r="N340" s="75"/>
      <c r="O340" s="75"/>
      <c r="P340" s="75"/>
      <c r="Q340" s="75"/>
      <c r="R340" s="75"/>
      <c r="S340" s="75"/>
      <c r="T340" s="75"/>
      <c r="U340" s="75"/>
      <c r="V340" s="77"/>
      <c r="W340" s="75"/>
      <c r="X340" s="75"/>
      <c r="Y340" s="75"/>
      <c r="Z340" s="78"/>
      <c r="AA340" s="78"/>
      <c r="AB340" s="75"/>
      <c r="AC340" s="75"/>
      <c r="AD340" s="75"/>
      <c r="AE340" s="75"/>
      <c r="AF340" s="75"/>
      <c r="AG340" s="75"/>
      <c r="AH340" s="75"/>
      <c r="AI340" s="75"/>
      <c r="AJ340" s="81"/>
      <c r="AK340" s="75"/>
      <c r="AL340" s="75"/>
    </row>
    <row r="341" spans="1:38" s="69" customFormat="1" x14ac:dyDescent="0.25">
      <c r="A341" s="75"/>
      <c r="B341" s="75"/>
      <c r="C341" s="76"/>
      <c r="D341" s="76"/>
      <c r="E341" s="75"/>
      <c r="F341" s="75"/>
      <c r="G341" s="75"/>
      <c r="H341" s="75"/>
      <c r="I341" s="75"/>
      <c r="J341" s="75"/>
      <c r="K341" s="75"/>
      <c r="L341" s="75"/>
      <c r="M341" s="75"/>
      <c r="N341" s="75"/>
      <c r="O341" s="75"/>
      <c r="P341" s="75"/>
      <c r="Q341" s="75"/>
      <c r="R341" s="75"/>
      <c r="S341" s="75"/>
      <c r="T341" s="75"/>
      <c r="U341" s="75"/>
      <c r="V341" s="77"/>
      <c r="W341" s="75"/>
      <c r="X341" s="75"/>
      <c r="Y341" s="75"/>
      <c r="Z341" s="78"/>
      <c r="AA341" s="78"/>
      <c r="AB341" s="75"/>
      <c r="AC341" s="75"/>
      <c r="AD341" s="75"/>
      <c r="AE341" s="75"/>
      <c r="AF341" s="75"/>
      <c r="AG341" s="75"/>
      <c r="AH341" s="75"/>
      <c r="AI341" s="75"/>
      <c r="AJ341" s="81"/>
      <c r="AK341" s="75"/>
      <c r="AL341" s="75"/>
    </row>
    <row r="342" spans="1:38" s="69" customFormat="1" x14ac:dyDescent="0.25">
      <c r="A342" s="75"/>
      <c r="B342" s="75"/>
      <c r="C342" s="76"/>
      <c r="D342" s="76"/>
      <c r="E342" s="75"/>
      <c r="F342" s="75"/>
      <c r="G342" s="75"/>
      <c r="H342" s="75"/>
      <c r="I342" s="75"/>
      <c r="J342" s="75"/>
      <c r="K342" s="75"/>
      <c r="L342" s="75"/>
      <c r="M342" s="75"/>
      <c r="N342" s="75"/>
      <c r="O342" s="75"/>
      <c r="P342" s="75"/>
      <c r="Q342" s="75"/>
      <c r="R342" s="75"/>
      <c r="S342" s="75"/>
      <c r="T342" s="75"/>
      <c r="U342" s="75"/>
      <c r="V342" s="77"/>
      <c r="W342" s="75"/>
      <c r="X342" s="75"/>
      <c r="Y342" s="75"/>
      <c r="Z342" s="78"/>
      <c r="AA342" s="78"/>
      <c r="AB342" s="75"/>
      <c r="AC342" s="75"/>
      <c r="AD342" s="75"/>
      <c r="AE342" s="75"/>
      <c r="AF342" s="75"/>
      <c r="AG342" s="75"/>
      <c r="AH342" s="75"/>
      <c r="AI342" s="75"/>
      <c r="AJ342" s="81"/>
      <c r="AK342" s="75"/>
      <c r="AL342" s="75"/>
    </row>
    <row r="343" spans="1:38" s="69" customFormat="1" x14ac:dyDescent="0.25">
      <c r="A343" s="75"/>
      <c r="B343" s="75"/>
      <c r="C343" s="76"/>
      <c r="D343" s="76"/>
      <c r="E343" s="75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7"/>
      <c r="W343" s="75"/>
      <c r="X343" s="75"/>
      <c r="Y343" s="75"/>
      <c r="Z343" s="78"/>
      <c r="AA343" s="78"/>
      <c r="AB343" s="75"/>
      <c r="AC343" s="75"/>
      <c r="AD343" s="75"/>
      <c r="AE343" s="75"/>
      <c r="AF343" s="75"/>
      <c r="AG343" s="75"/>
      <c r="AH343" s="75"/>
      <c r="AI343" s="75"/>
      <c r="AJ343" s="81"/>
      <c r="AK343" s="75"/>
      <c r="AL343" s="75"/>
    </row>
    <row r="344" spans="1:38" s="69" customFormat="1" x14ac:dyDescent="0.25">
      <c r="A344" s="75"/>
      <c r="B344" s="75"/>
      <c r="C344" s="76"/>
      <c r="D344" s="76"/>
      <c r="E344" s="75"/>
      <c r="F344" s="75"/>
      <c r="G344" s="75"/>
      <c r="H344" s="75"/>
      <c r="I344" s="75"/>
      <c r="J344" s="75"/>
      <c r="K344" s="75"/>
      <c r="L344" s="75"/>
      <c r="M344" s="75"/>
      <c r="N344" s="75"/>
      <c r="O344" s="75"/>
      <c r="P344" s="75"/>
      <c r="Q344" s="75"/>
      <c r="R344" s="75"/>
      <c r="S344" s="75"/>
      <c r="T344" s="75"/>
      <c r="U344" s="75"/>
      <c r="V344" s="77"/>
      <c r="W344" s="75"/>
      <c r="X344" s="75"/>
      <c r="Y344" s="75"/>
      <c r="Z344" s="78"/>
      <c r="AA344" s="78"/>
      <c r="AB344" s="75"/>
      <c r="AC344" s="75"/>
      <c r="AD344" s="75"/>
      <c r="AE344" s="75"/>
      <c r="AF344" s="75"/>
      <c r="AG344" s="75"/>
      <c r="AH344" s="75"/>
      <c r="AI344" s="75"/>
      <c r="AJ344" s="81"/>
      <c r="AK344" s="75"/>
      <c r="AL344" s="75"/>
    </row>
    <row r="345" spans="1:38" s="69" customFormat="1" x14ac:dyDescent="0.25">
      <c r="A345" s="75"/>
      <c r="B345" s="75"/>
      <c r="C345" s="76"/>
      <c r="D345" s="76"/>
      <c r="E345" s="75"/>
      <c r="F345" s="75"/>
      <c r="G345" s="75"/>
      <c r="H345" s="75"/>
      <c r="I345" s="75"/>
      <c r="J345" s="75"/>
      <c r="K345" s="75"/>
      <c r="L345" s="75"/>
      <c r="M345" s="75"/>
      <c r="N345" s="75"/>
      <c r="O345" s="75"/>
      <c r="P345" s="75"/>
      <c r="Q345" s="75"/>
      <c r="R345" s="75"/>
      <c r="S345" s="75"/>
      <c r="T345" s="75"/>
      <c r="U345" s="75"/>
      <c r="V345" s="77"/>
      <c r="W345" s="75"/>
      <c r="X345" s="75"/>
      <c r="Y345" s="75"/>
      <c r="Z345" s="78"/>
      <c r="AA345" s="78"/>
      <c r="AB345" s="75"/>
      <c r="AC345" s="75"/>
      <c r="AD345" s="75"/>
      <c r="AE345" s="75"/>
      <c r="AF345" s="75"/>
      <c r="AG345" s="75"/>
      <c r="AH345" s="75"/>
      <c r="AI345" s="75"/>
      <c r="AJ345" s="81"/>
      <c r="AK345" s="75"/>
      <c r="AL345" s="75"/>
    </row>
    <row r="346" spans="1:38" s="69" customFormat="1" x14ac:dyDescent="0.25">
      <c r="A346" s="75"/>
      <c r="B346" s="75"/>
      <c r="C346" s="76"/>
      <c r="D346" s="76"/>
      <c r="E346" s="75"/>
      <c r="F346" s="75"/>
      <c r="G346" s="75"/>
      <c r="H346" s="75"/>
      <c r="I346" s="75"/>
      <c r="J346" s="75"/>
      <c r="K346" s="75"/>
      <c r="L346" s="75"/>
      <c r="M346" s="75"/>
      <c r="N346" s="75"/>
      <c r="O346" s="75"/>
      <c r="P346" s="75"/>
      <c r="Q346" s="75"/>
      <c r="R346" s="75"/>
      <c r="S346" s="75"/>
      <c r="T346" s="75"/>
      <c r="U346" s="75"/>
      <c r="V346" s="77"/>
      <c r="W346" s="75"/>
      <c r="X346" s="75"/>
      <c r="Y346" s="75"/>
      <c r="Z346" s="78"/>
      <c r="AA346" s="78"/>
      <c r="AB346" s="75"/>
      <c r="AC346" s="75"/>
      <c r="AD346" s="75"/>
      <c r="AE346" s="75"/>
      <c r="AF346" s="75"/>
      <c r="AG346" s="75"/>
      <c r="AH346" s="75"/>
      <c r="AI346" s="75"/>
      <c r="AJ346" s="81"/>
      <c r="AK346" s="75"/>
      <c r="AL346" s="75"/>
    </row>
    <row r="347" spans="1:38" s="69" customFormat="1" x14ac:dyDescent="0.25">
      <c r="A347" s="75"/>
      <c r="B347" s="75"/>
      <c r="C347" s="76"/>
      <c r="D347" s="76"/>
      <c r="E347" s="75"/>
      <c r="F347" s="75"/>
      <c r="G347" s="75"/>
      <c r="H347" s="75"/>
      <c r="I347" s="75"/>
      <c r="J347" s="75"/>
      <c r="K347" s="75"/>
      <c r="L347" s="75"/>
      <c r="M347" s="75"/>
      <c r="N347" s="75"/>
      <c r="O347" s="75"/>
      <c r="P347" s="75"/>
      <c r="Q347" s="75"/>
      <c r="R347" s="75"/>
      <c r="S347" s="75"/>
      <c r="T347" s="75"/>
      <c r="U347" s="75"/>
      <c r="V347" s="77"/>
      <c r="W347" s="75"/>
      <c r="X347" s="75"/>
      <c r="Y347" s="75"/>
      <c r="Z347" s="78"/>
      <c r="AA347" s="78"/>
      <c r="AB347" s="75"/>
      <c r="AC347" s="75"/>
      <c r="AD347" s="75"/>
      <c r="AE347" s="75"/>
      <c r="AF347" s="75"/>
      <c r="AG347" s="75"/>
      <c r="AH347" s="75"/>
      <c r="AI347" s="75"/>
      <c r="AJ347" s="81"/>
      <c r="AK347" s="75"/>
      <c r="AL347" s="75"/>
    </row>
    <row r="348" spans="1:38" s="69" customFormat="1" x14ac:dyDescent="0.25">
      <c r="A348" s="75"/>
      <c r="B348" s="75"/>
      <c r="C348" s="76"/>
      <c r="D348" s="76"/>
      <c r="E348" s="75"/>
      <c r="F348" s="75"/>
      <c r="G348" s="75"/>
      <c r="H348" s="75"/>
      <c r="I348" s="75"/>
      <c r="J348" s="75"/>
      <c r="K348" s="75"/>
      <c r="L348" s="75"/>
      <c r="M348" s="75"/>
      <c r="N348" s="75"/>
      <c r="O348" s="75"/>
      <c r="P348" s="75"/>
      <c r="Q348" s="75"/>
      <c r="R348" s="75"/>
      <c r="S348" s="75"/>
      <c r="T348" s="75"/>
      <c r="U348" s="75"/>
      <c r="V348" s="77"/>
      <c r="W348" s="75"/>
      <c r="X348" s="75"/>
      <c r="Y348" s="75"/>
      <c r="Z348" s="78"/>
      <c r="AA348" s="78"/>
      <c r="AB348" s="75"/>
      <c r="AC348" s="75"/>
      <c r="AD348" s="75"/>
      <c r="AE348" s="75"/>
      <c r="AF348" s="75"/>
      <c r="AG348" s="75"/>
      <c r="AH348" s="75"/>
      <c r="AI348" s="75"/>
      <c r="AJ348" s="81"/>
      <c r="AK348" s="75"/>
      <c r="AL348" s="75"/>
    </row>
    <row r="349" spans="1:38" s="69" customFormat="1" x14ac:dyDescent="0.25">
      <c r="A349" s="75"/>
      <c r="B349" s="75"/>
      <c r="C349" s="76"/>
      <c r="D349" s="76"/>
      <c r="E349" s="75"/>
      <c r="F349" s="75"/>
      <c r="G349" s="75"/>
      <c r="H349" s="75"/>
      <c r="I349" s="75"/>
      <c r="J349" s="75"/>
      <c r="K349" s="75"/>
      <c r="L349" s="75"/>
      <c r="M349" s="75"/>
      <c r="N349" s="75"/>
      <c r="O349" s="75"/>
      <c r="P349" s="75"/>
      <c r="Q349" s="75"/>
      <c r="R349" s="75"/>
      <c r="S349" s="75"/>
      <c r="T349" s="75"/>
      <c r="U349" s="75"/>
      <c r="V349" s="77"/>
      <c r="W349" s="75"/>
      <c r="X349" s="75"/>
      <c r="Y349" s="75"/>
      <c r="Z349" s="78"/>
      <c r="AA349" s="78"/>
      <c r="AB349" s="75"/>
      <c r="AC349" s="75"/>
      <c r="AD349" s="75"/>
      <c r="AE349" s="75"/>
      <c r="AF349" s="75"/>
      <c r="AG349" s="75"/>
      <c r="AH349" s="75"/>
      <c r="AI349" s="75"/>
      <c r="AJ349" s="81"/>
      <c r="AK349" s="75"/>
      <c r="AL349" s="75"/>
    </row>
    <row r="350" spans="1:38" s="69" customFormat="1" x14ac:dyDescent="0.25">
      <c r="A350" s="75"/>
      <c r="B350" s="75"/>
      <c r="C350" s="76"/>
      <c r="D350" s="76"/>
      <c r="E350" s="75"/>
      <c r="F350" s="75"/>
      <c r="G350" s="75"/>
      <c r="H350" s="75"/>
      <c r="I350" s="75"/>
      <c r="J350" s="75"/>
      <c r="K350" s="75"/>
      <c r="L350" s="75"/>
      <c r="M350" s="75"/>
      <c r="N350" s="75"/>
      <c r="O350" s="75"/>
      <c r="P350" s="75"/>
      <c r="Q350" s="75"/>
      <c r="R350" s="75"/>
      <c r="S350" s="75"/>
      <c r="T350" s="75"/>
      <c r="U350" s="75"/>
      <c r="V350" s="77"/>
      <c r="W350" s="75"/>
      <c r="X350" s="75"/>
      <c r="Y350" s="75"/>
      <c r="Z350" s="78"/>
      <c r="AA350" s="78"/>
      <c r="AB350" s="75"/>
      <c r="AC350" s="75"/>
      <c r="AD350" s="75"/>
      <c r="AE350" s="75"/>
      <c r="AF350" s="75"/>
      <c r="AG350" s="75"/>
      <c r="AH350" s="75"/>
      <c r="AI350" s="75"/>
      <c r="AJ350" s="81"/>
      <c r="AK350" s="75"/>
      <c r="AL350" s="75"/>
    </row>
    <row r="351" spans="1:38" s="69" customFormat="1" x14ac:dyDescent="0.25">
      <c r="A351" s="75"/>
      <c r="B351" s="75"/>
      <c r="C351" s="76"/>
      <c r="D351" s="76"/>
      <c r="E351" s="75"/>
      <c r="F351" s="75"/>
      <c r="G351" s="75"/>
      <c r="H351" s="75"/>
      <c r="I351" s="75"/>
      <c r="J351" s="75"/>
      <c r="K351" s="75"/>
      <c r="L351" s="75"/>
      <c r="M351" s="75"/>
      <c r="N351" s="75"/>
      <c r="O351" s="75"/>
      <c r="P351" s="75"/>
      <c r="Q351" s="75"/>
      <c r="R351" s="75"/>
      <c r="S351" s="75"/>
      <c r="T351" s="75"/>
      <c r="U351" s="75"/>
      <c r="V351" s="77"/>
      <c r="W351" s="75"/>
      <c r="X351" s="75"/>
      <c r="Y351" s="75"/>
      <c r="Z351" s="78"/>
      <c r="AA351" s="78"/>
      <c r="AB351" s="75"/>
      <c r="AC351" s="75"/>
      <c r="AD351" s="75"/>
      <c r="AE351" s="75"/>
      <c r="AF351" s="75"/>
      <c r="AG351" s="75"/>
      <c r="AH351" s="75"/>
      <c r="AI351" s="75"/>
      <c r="AJ351" s="81"/>
      <c r="AK351" s="75"/>
      <c r="AL351" s="75"/>
    </row>
    <row r="352" spans="1:38" s="69" customFormat="1" x14ac:dyDescent="0.25">
      <c r="A352" s="75"/>
      <c r="B352" s="75"/>
      <c r="C352" s="76"/>
      <c r="D352" s="76"/>
      <c r="E352" s="75"/>
      <c r="F352" s="75"/>
      <c r="G352" s="75"/>
      <c r="H352" s="75"/>
      <c r="I352" s="75"/>
      <c r="J352" s="75"/>
      <c r="K352" s="75"/>
      <c r="L352" s="75"/>
      <c r="M352" s="75"/>
      <c r="N352" s="75"/>
      <c r="O352" s="75"/>
      <c r="P352" s="75"/>
      <c r="Q352" s="75"/>
      <c r="R352" s="75"/>
      <c r="S352" s="75"/>
      <c r="T352" s="75"/>
      <c r="U352" s="75"/>
      <c r="V352" s="77"/>
      <c r="W352" s="75"/>
      <c r="X352" s="75"/>
      <c r="Y352" s="75"/>
      <c r="Z352" s="78"/>
      <c r="AA352" s="78"/>
      <c r="AB352" s="75"/>
      <c r="AC352" s="75"/>
      <c r="AD352" s="75"/>
      <c r="AE352" s="75"/>
      <c r="AF352" s="75"/>
      <c r="AG352" s="75"/>
      <c r="AH352" s="75"/>
      <c r="AI352" s="75"/>
      <c r="AJ352" s="81"/>
      <c r="AK352" s="75"/>
      <c r="AL352" s="75"/>
    </row>
    <row r="353" spans="1:38" s="69" customFormat="1" x14ac:dyDescent="0.25">
      <c r="A353" s="75"/>
      <c r="B353" s="75"/>
      <c r="C353" s="76"/>
      <c r="D353" s="76"/>
      <c r="E353" s="75"/>
      <c r="F353" s="75"/>
      <c r="G353" s="75"/>
      <c r="H353" s="75"/>
      <c r="I353" s="75"/>
      <c r="J353" s="75"/>
      <c r="K353" s="75"/>
      <c r="L353" s="75"/>
      <c r="M353" s="75"/>
      <c r="N353" s="75"/>
      <c r="O353" s="75"/>
      <c r="P353" s="75"/>
      <c r="Q353" s="75"/>
      <c r="R353" s="75"/>
      <c r="S353" s="75"/>
      <c r="T353" s="75"/>
      <c r="U353" s="75"/>
      <c r="V353" s="77"/>
      <c r="W353" s="75"/>
      <c r="X353" s="75"/>
      <c r="Y353" s="75"/>
      <c r="Z353" s="78"/>
      <c r="AA353" s="78"/>
      <c r="AB353" s="75"/>
      <c r="AC353" s="75"/>
      <c r="AD353" s="75"/>
      <c r="AE353" s="75"/>
      <c r="AF353" s="75"/>
      <c r="AG353" s="75"/>
      <c r="AH353" s="75"/>
      <c r="AI353" s="75"/>
      <c r="AJ353" s="81"/>
      <c r="AK353" s="75"/>
      <c r="AL353" s="75"/>
    </row>
    <row r="354" spans="1:38" s="69" customFormat="1" x14ac:dyDescent="0.25">
      <c r="A354" s="75"/>
      <c r="B354" s="75"/>
      <c r="C354" s="76"/>
      <c r="D354" s="76"/>
      <c r="E354" s="75"/>
      <c r="F354" s="75"/>
      <c r="G354" s="75"/>
      <c r="H354" s="75"/>
      <c r="I354" s="75"/>
      <c r="J354" s="75"/>
      <c r="K354" s="75"/>
      <c r="L354" s="75"/>
      <c r="M354" s="75"/>
      <c r="N354" s="75"/>
      <c r="O354" s="75"/>
      <c r="P354" s="75"/>
      <c r="Q354" s="75"/>
      <c r="R354" s="75"/>
      <c r="S354" s="75"/>
      <c r="T354" s="75"/>
      <c r="U354" s="75"/>
      <c r="V354" s="77"/>
      <c r="W354" s="75"/>
      <c r="X354" s="75"/>
      <c r="Y354" s="75"/>
      <c r="Z354" s="78"/>
      <c r="AA354" s="78"/>
      <c r="AB354" s="75"/>
      <c r="AC354" s="75"/>
      <c r="AD354" s="75"/>
      <c r="AE354" s="75"/>
      <c r="AF354" s="75"/>
      <c r="AG354" s="75"/>
      <c r="AH354" s="75"/>
      <c r="AI354" s="75"/>
      <c r="AJ354" s="81"/>
      <c r="AK354" s="75"/>
      <c r="AL354" s="75"/>
    </row>
    <row r="355" spans="1:38" s="69" customFormat="1" x14ac:dyDescent="0.25">
      <c r="A355" s="75"/>
      <c r="B355" s="75"/>
      <c r="C355" s="76"/>
      <c r="D355" s="76"/>
      <c r="E355" s="75"/>
      <c r="F355" s="75"/>
      <c r="G355" s="75"/>
      <c r="H355" s="75"/>
      <c r="I355" s="75"/>
      <c r="J355" s="75"/>
      <c r="K355" s="75"/>
      <c r="L355" s="75"/>
      <c r="M355" s="75"/>
      <c r="N355" s="75"/>
      <c r="O355" s="75"/>
      <c r="P355" s="75"/>
      <c r="Q355" s="75"/>
      <c r="R355" s="75"/>
      <c r="S355" s="75"/>
      <c r="T355" s="75"/>
      <c r="U355" s="75"/>
      <c r="V355" s="77"/>
      <c r="W355" s="75"/>
      <c r="X355" s="75"/>
      <c r="Y355" s="75"/>
      <c r="Z355" s="78"/>
      <c r="AA355" s="78"/>
      <c r="AB355" s="75"/>
      <c r="AC355" s="75"/>
      <c r="AD355" s="75"/>
      <c r="AE355" s="75"/>
      <c r="AF355" s="75"/>
      <c r="AG355" s="75"/>
      <c r="AH355" s="75"/>
      <c r="AI355" s="75"/>
      <c r="AJ355" s="81"/>
      <c r="AK355" s="75"/>
      <c r="AL355" s="75"/>
    </row>
    <row r="356" spans="1:38" s="69" customFormat="1" x14ac:dyDescent="0.25">
      <c r="A356" s="75"/>
      <c r="B356" s="75"/>
      <c r="C356" s="76"/>
      <c r="D356" s="76"/>
      <c r="E356" s="75"/>
      <c r="F356" s="75"/>
      <c r="G356" s="75"/>
      <c r="H356" s="75"/>
      <c r="I356" s="75"/>
      <c r="J356" s="75"/>
      <c r="K356" s="75"/>
      <c r="L356" s="75"/>
      <c r="M356" s="75"/>
      <c r="N356" s="75"/>
      <c r="O356" s="75"/>
      <c r="P356" s="75"/>
      <c r="Q356" s="75"/>
      <c r="R356" s="75"/>
      <c r="S356" s="75"/>
      <c r="T356" s="75"/>
      <c r="U356" s="75"/>
      <c r="V356" s="77"/>
      <c r="W356" s="75"/>
      <c r="X356" s="75"/>
      <c r="Y356" s="75"/>
      <c r="Z356" s="78"/>
      <c r="AA356" s="78"/>
      <c r="AB356" s="75"/>
      <c r="AC356" s="75"/>
      <c r="AD356" s="75"/>
      <c r="AE356" s="75"/>
      <c r="AF356" s="75"/>
      <c r="AG356" s="75"/>
      <c r="AH356" s="75"/>
      <c r="AI356" s="75"/>
      <c r="AJ356" s="81"/>
      <c r="AK356" s="75"/>
      <c r="AL356" s="75"/>
    </row>
    <row r="357" spans="1:38" s="69" customFormat="1" x14ac:dyDescent="0.25">
      <c r="A357" s="75"/>
      <c r="B357" s="75"/>
      <c r="C357" s="76"/>
      <c r="D357" s="76"/>
      <c r="E357" s="75"/>
      <c r="F357" s="75"/>
      <c r="G357" s="75"/>
      <c r="H357" s="75"/>
      <c r="I357" s="75"/>
      <c r="J357" s="75"/>
      <c r="K357" s="75"/>
      <c r="L357" s="75"/>
      <c r="M357" s="75"/>
      <c r="N357" s="75"/>
      <c r="O357" s="75"/>
      <c r="P357" s="75"/>
      <c r="Q357" s="75"/>
      <c r="R357" s="75"/>
      <c r="S357" s="75"/>
      <c r="T357" s="75"/>
      <c r="U357" s="75"/>
      <c r="V357" s="77"/>
      <c r="W357" s="75"/>
      <c r="X357" s="75"/>
      <c r="Y357" s="75"/>
      <c r="Z357" s="78"/>
      <c r="AA357" s="78"/>
      <c r="AB357" s="75"/>
      <c r="AC357" s="75"/>
      <c r="AD357" s="75"/>
      <c r="AE357" s="75"/>
      <c r="AF357" s="75"/>
      <c r="AG357" s="75"/>
      <c r="AH357" s="75"/>
      <c r="AI357" s="75"/>
      <c r="AJ357" s="81"/>
      <c r="AK357" s="75"/>
      <c r="AL357" s="75"/>
    </row>
    <row r="358" spans="1:38" s="69" customFormat="1" x14ac:dyDescent="0.25">
      <c r="A358" s="75"/>
      <c r="B358" s="75"/>
      <c r="C358" s="76"/>
      <c r="D358" s="76"/>
      <c r="E358" s="75"/>
      <c r="F358" s="75"/>
      <c r="G358" s="75"/>
      <c r="H358" s="75"/>
      <c r="I358" s="75"/>
      <c r="J358" s="75"/>
      <c r="K358" s="75"/>
      <c r="L358" s="75"/>
      <c r="M358" s="75"/>
      <c r="N358" s="75"/>
      <c r="O358" s="75"/>
      <c r="P358" s="75"/>
      <c r="Q358" s="75"/>
      <c r="R358" s="75"/>
      <c r="S358" s="75"/>
      <c r="T358" s="75"/>
      <c r="U358" s="75"/>
      <c r="V358" s="77"/>
      <c r="W358" s="75"/>
      <c r="X358" s="75"/>
      <c r="Y358" s="75"/>
      <c r="Z358" s="78"/>
      <c r="AA358" s="78"/>
      <c r="AB358" s="75"/>
      <c r="AC358" s="75"/>
      <c r="AD358" s="75"/>
      <c r="AE358" s="75"/>
      <c r="AF358" s="75"/>
      <c r="AG358" s="75"/>
      <c r="AH358" s="75"/>
      <c r="AI358" s="75"/>
      <c r="AJ358" s="81"/>
      <c r="AK358" s="75"/>
      <c r="AL358" s="75"/>
    </row>
    <row r="359" spans="1:38" s="69" customFormat="1" x14ac:dyDescent="0.25">
      <c r="A359" s="75"/>
      <c r="B359" s="75"/>
      <c r="C359" s="76"/>
      <c r="D359" s="76"/>
      <c r="E359" s="75"/>
      <c r="F359" s="75"/>
      <c r="G359" s="75"/>
      <c r="H359" s="75"/>
      <c r="I359" s="75"/>
      <c r="J359" s="75"/>
      <c r="K359" s="75"/>
      <c r="L359" s="75"/>
      <c r="M359" s="75"/>
      <c r="N359" s="75"/>
      <c r="O359" s="75"/>
      <c r="P359" s="75"/>
      <c r="Q359" s="75"/>
      <c r="R359" s="75"/>
      <c r="S359" s="75"/>
      <c r="T359" s="75"/>
      <c r="U359" s="75"/>
      <c r="V359" s="77"/>
      <c r="W359" s="75"/>
      <c r="X359" s="75"/>
      <c r="Y359" s="75"/>
      <c r="Z359" s="78"/>
      <c r="AA359" s="78"/>
      <c r="AB359" s="75"/>
      <c r="AC359" s="75"/>
      <c r="AD359" s="75"/>
      <c r="AE359" s="75"/>
      <c r="AF359" s="75"/>
      <c r="AG359" s="75"/>
      <c r="AH359" s="75"/>
      <c r="AI359" s="75"/>
      <c r="AJ359" s="81"/>
      <c r="AK359" s="75"/>
      <c r="AL359" s="75"/>
    </row>
    <row r="360" spans="1:38" s="69" customFormat="1" x14ac:dyDescent="0.25">
      <c r="A360" s="75"/>
      <c r="B360" s="75"/>
      <c r="C360" s="76"/>
      <c r="D360" s="76"/>
      <c r="E360" s="75"/>
      <c r="F360" s="75"/>
      <c r="G360" s="75"/>
      <c r="H360" s="75"/>
      <c r="I360" s="75"/>
      <c r="J360" s="75"/>
      <c r="K360" s="75"/>
      <c r="L360" s="75"/>
      <c r="M360" s="75"/>
      <c r="N360" s="75"/>
      <c r="O360" s="75"/>
      <c r="P360" s="75"/>
      <c r="Q360" s="75"/>
      <c r="R360" s="75"/>
      <c r="S360" s="75"/>
      <c r="T360" s="75"/>
      <c r="U360" s="75"/>
      <c r="V360" s="77"/>
      <c r="W360" s="75"/>
      <c r="X360" s="75"/>
      <c r="Y360" s="75"/>
      <c r="Z360" s="78"/>
      <c r="AA360" s="78"/>
      <c r="AB360" s="75"/>
      <c r="AC360" s="75"/>
      <c r="AD360" s="75"/>
      <c r="AE360" s="75"/>
      <c r="AF360" s="75"/>
      <c r="AG360" s="75"/>
      <c r="AH360" s="75"/>
      <c r="AI360" s="75"/>
      <c r="AJ360" s="81"/>
      <c r="AK360" s="75"/>
      <c r="AL360" s="75"/>
    </row>
    <row r="361" spans="1:38" s="69" customFormat="1" x14ac:dyDescent="0.25">
      <c r="A361" s="75"/>
      <c r="B361" s="75"/>
      <c r="C361" s="76"/>
      <c r="D361" s="76"/>
      <c r="E361" s="75"/>
      <c r="F361" s="75"/>
      <c r="G361" s="75"/>
      <c r="H361" s="75"/>
      <c r="I361" s="75"/>
      <c r="J361" s="75"/>
      <c r="K361" s="75"/>
      <c r="L361" s="75"/>
      <c r="M361" s="75"/>
      <c r="N361" s="75"/>
      <c r="O361" s="75"/>
      <c r="P361" s="75"/>
      <c r="Q361" s="75"/>
      <c r="R361" s="75"/>
      <c r="S361" s="75"/>
      <c r="T361" s="75"/>
      <c r="U361" s="75"/>
      <c r="V361" s="77"/>
      <c r="W361" s="75"/>
      <c r="X361" s="75"/>
      <c r="Y361" s="75"/>
      <c r="Z361" s="78"/>
      <c r="AA361" s="78"/>
      <c r="AB361" s="75"/>
      <c r="AC361" s="75"/>
      <c r="AD361" s="75"/>
      <c r="AE361" s="75"/>
      <c r="AF361" s="75"/>
      <c r="AG361" s="75"/>
      <c r="AH361" s="75"/>
      <c r="AI361" s="75"/>
      <c r="AJ361" s="81"/>
      <c r="AK361" s="75"/>
      <c r="AL361" s="75"/>
    </row>
    <row r="362" spans="1:38" s="69" customFormat="1" x14ac:dyDescent="0.25">
      <c r="A362" s="75"/>
      <c r="B362" s="75"/>
      <c r="C362" s="76"/>
      <c r="D362" s="76"/>
      <c r="E362" s="75"/>
      <c r="F362" s="75"/>
      <c r="G362" s="75"/>
      <c r="H362" s="75"/>
      <c r="I362" s="75"/>
      <c r="J362" s="75"/>
      <c r="K362" s="75"/>
      <c r="L362" s="75"/>
      <c r="M362" s="75"/>
      <c r="N362" s="75"/>
      <c r="O362" s="75"/>
      <c r="P362" s="75"/>
      <c r="Q362" s="75"/>
      <c r="R362" s="75"/>
      <c r="S362" s="75"/>
      <c r="T362" s="75"/>
      <c r="U362" s="75"/>
      <c r="V362" s="77"/>
      <c r="W362" s="75"/>
      <c r="X362" s="75"/>
      <c r="Y362" s="75"/>
      <c r="Z362" s="78"/>
      <c r="AA362" s="78"/>
      <c r="AB362" s="75"/>
      <c r="AC362" s="75"/>
      <c r="AD362" s="75"/>
      <c r="AE362" s="75"/>
      <c r="AF362" s="75"/>
      <c r="AG362" s="75"/>
      <c r="AH362" s="75"/>
      <c r="AI362" s="75"/>
      <c r="AJ362" s="81"/>
      <c r="AK362" s="75"/>
      <c r="AL362" s="75"/>
    </row>
    <row r="363" spans="1:38" s="69" customFormat="1" x14ac:dyDescent="0.25">
      <c r="A363" s="75"/>
      <c r="B363" s="75"/>
      <c r="C363" s="76"/>
      <c r="D363" s="76"/>
      <c r="E363" s="75"/>
      <c r="F363" s="75"/>
      <c r="G363" s="75"/>
      <c r="H363" s="75"/>
      <c r="I363" s="75"/>
      <c r="J363" s="75"/>
      <c r="K363" s="75"/>
      <c r="L363" s="75"/>
      <c r="M363" s="75"/>
      <c r="N363" s="75"/>
      <c r="O363" s="75"/>
      <c r="P363" s="75"/>
      <c r="Q363" s="75"/>
      <c r="R363" s="75"/>
      <c r="S363" s="75"/>
      <c r="T363" s="75"/>
      <c r="U363" s="75"/>
      <c r="V363" s="77"/>
      <c r="W363" s="75"/>
      <c r="X363" s="75"/>
      <c r="Y363" s="75"/>
      <c r="Z363" s="78"/>
      <c r="AA363" s="78"/>
      <c r="AB363" s="75"/>
      <c r="AC363" s="75"/>
      <c r="AD363" s="75"/>
      <c r="AE363" s="75"/>
      <c r="AF363" s="75"/>
      <c r="AG363" s="75"/>
      <c r="AH363" s="75"/>
      <c r="AI363" s="75"/>
      <c r="AJ363" s="81"/>
      <c r="AK363" s="75"/>
      <c r="AL363" s="75"/>
    </row>
    <row r="364" spans="1:38" s="69" customFormat="1" x14ac:dyDescent="0.25">
      <c r="A364" s="75"/>
      <c r="B364" s="75"/>
      <c r="C364" s="76"/>
      <c r="D364" s="76"/>
      <c r="E364" s="75"/>
      <c r="F364" s="75"/>
      <c r="G364" s="75"/>
      <c r="H364" s="75"/>
      <c r="I364" s="75"/>
      <c r="J364" s="75"/>
      <c r="K364" s="75"/>
      <c r="L364" s="75"/>
      <c r="M364" s="75"/>
      <c r="N364" s="75"/>
      <c r="O364" s="75"/>
      <c r="P364" s="75"/>
      <c r="Q364" s="75"/>
      <c r="R364" s="75"/>
      <c r="S364" s="75"/>
      <c r="T364" s="75"/>
      <c r="U364" s="75"/>
      <c r="V364" s="77"/>
      <c r="W364" s="75"/>
      <c r="X364" s="75"/>
      <c r="Y364" s="75"/>
      <c r="Z364" s="78"/>
      <c r="AA364" s="78"/>
      <c r="AB364" s="75"/>
      <c r="AC364" s="75"/>
      <c r="AD364" s="75"/>
      <c r="AE364" s="75"/>
      <c r="AF364" s="75"/>
      <c r="AG364" s="75"/>
      <c r="AH364" s="75"/>
      <c r="AI364" s="75"/>
      <c r="AJ364" s="81"/>
      <c r="AK364" s="75"/>
      <c r="AL364" s="75"/>
    </row>
    <row r="365" spans="1:38" s="69" customFormat="1" x14ac:dyDescent="0.25">
      <c r="A365" s="75"/>
      <c r="B365" s="75"/>
      <c r="C365" s="76"/>
      <c r="D365" s="76"/>
      <c r="E365" s="75"/>
      <c r="F365" s="75"/>
      <c r="G365" s="75"/>
      <c r="H365" s="75"/>
      <c r="I365" s="75"/>
      <c r="J365" s="75"/>
      <c r="K365" s="75"/>
      <c r="L365" s="75"/>
      <c r="M365" s="75"/>
      <c r="N365" s="75"/>
      <c r="O365" s="75"/>
      <c r="P365" s="75"/>
      <c r="Q365" s="75"/>
      <c r="R365" s="75"/>
      <c r="S365" s="75"/>
      <c r="T365" s="75"/>
      <c r="U365" s="75"/>
      <c r="V365" s="77"/>
      <c r="W365" s="75"/>
      <c r="X365" s="75"/>
      <c r="Y365" s="75"/>
      <c r="Z365" s="78"/>
      <c r="AA365" s="78"/>
      <c r="AB365" s="75"/>
      <c r="AC365" s="75"/>
      <c r="AD365" s="75"/>
      <c r="AE365" s="75"/>
      <c r="AF365" s="75"/>
      <c r="AG365" s="75"/>
      <c r="AH365" s="75"/>
      <c r="AI365" s="75"/>
      <c r="AJ365" s="81"/>
      <c r="AK365" s="75"/>
      <c r="AL365" s="75"/>
    </row>
    <row r="366" spans="1:38" s="69" customFormat="1" x14ac:dyDescent="0.25">
      <c r="A366" s="75"/>
      <c r="B366" s="75"/>
      <c r="C366" s="76"/>
      <c r="D366" s="76"/>
      <c r="E366" s="75"/>
      <c r="F366" s="75"/>
      <c r="G366" s="75"/>
      <c r="H366" s="75"/>
      <c r="I366" s="75"/>
      <c r="J366" s="75"/>
      <c r="K366" s="75"/>
      <c r="L366" s="75"/>
      <c r="M366" s="75"/>
      <c r="N366" s="75"/>
      <c r="O366" s="75"/>
      <c r="P366" s="75"/>
      <c r="Q366" s="75"/>
      <c r="R366" s="75"/>
      <c r="S366" s="75"/>
      <c r="T366" s="75"/>
      <c r="U366" s="75"/>
      <c r="V366" s="77"/>
      <c r="W366" s="75"/>
      <c r="X366" s="75"/>
      <c r="Y366" s="75"/>
      <c r="Z366" s="78"/>
      <c r="AA366" s="78"/>
      <c r="AB366" s="75"/>
      <c r="AJ366" s="72"/>
    </row>
    <row r="367" spans="1:38" s="69" customFormat="1" x14ac:dyDescent="0.25">
      <c r="A367" s="75"/>
      <c r="B367" s="75"/>
      <c r="C367" s="76"/>
      <c r="D367" s="76"/>
      <c r="E367" s="75"/>
      <c r="F367" s="75"/>
      <c r="G367" s="75"/>
      <c r="H367" s="75"/>
      <c r="I367" s="75"/>
      <c r="J367" s="75"/>
      <c r="K367" s="75"/>
      <c r="L367" s="75"/>
      <c r="M367" s="75"/>
      <c r="N367" s="75"/>
      <c r="O367" s="75"/>
      <c r="P367" s="75"/>
      <c r="Q367" s="75"/>
      <c r="R367" s="75"/>
      <c r="S367" s="75"/>
      <c r="T367" s="75"/>
      <c r="U367" s="75"/>
      <c r="V367" s="77"/>
      <c r="W367" s="75"/>
      <c r="X367" s="75"/>
      <c r="Y367" s="75"/>
      <c r="Z367" s="78"/>
      <c r="AA367" s="78"/>
      <c r="AB367" s="75"/>
      <c r="AJ367" s="72"/>
    </row>
    <row r="368" spans="1:38" s="69" customFormat="1" x14ac:dyDescent="0.25">
      <c r="A368" s="75"/>
      <c r="B368" s="75"/>
      <c r="C368" s="76"/>
      <c r="D368" s="76"/>
      <c r="E368" s="75"/>
      <c r="F368" s="75"/>
      <c r="G368" s="75"/>
      <c r="H368" s="75"/>
      <c r="I368" s="75"/>
      <c r="J368" s="75"/>
      <c r="K368" s="75"/>
      <c r="L368" s="75"/>
      <c r="M368" s="75"/>
      <c r="N368" s="75"/>
      <c r="O368" s="75"/>
      <c r="P368" s="75"/>
      <c r="Q368" s="75"/>
      <c r="R368" s="75"/>
      <c r="S368" s="75"/>
      <c r="T368" s="75"/>
      <c r="U368" s="75"/>
      <c r="V368" s="77"/>
      <c r="W368" s="75"/>
      <c r="X368" s="75"/>
      <c r="Y368" s="75"/>
      <c r="Z368" s="78"/>
      <c r="AA368" s="78"/>
      <c r="AB368" s="75"/>
      <c r="AJ368" s="72"/>
    </row>
    <row r="369" spans="1:36" s="69" customFormat="1" x14ac:dyDescent="0.25">
      <c r="A369" s="75"/>
      <c r="B369" s="75"/>
      <c r="C369" s="76"/>
      <c r="D369" s="76"/>
      <c r="E369" s="75"/>
      <c r="F369" s="75"/>
      <c r="G369" s="75"/>
      <c r="H369" s="75"/>
      <c r="I369" s="75"/>
      <c r="J369" s="75"/>
      <c r="K369" s="75"/>
      <c r="L369" s="75"/>
      <c r="M369" s="75"/>
      <c r="N369" s="75"/>
      <c r="O369" s="75"/>
      <c r="P369" s="75"/>
      <c r="Q369" s="75"/>
      <c r="R369" s="75"/>
      <c r="S369" s="75"/>
      <c r="T369" s="75"/>
      <c r="U369" s="75"/>
      <c r="V369" s="77"/>
      <c r="W369" s="75"/>
      <c r="X369" s="75"/>
      <c r="Y369" s="75"/>
      <c r="Z369" s="78"/>
      <c r="AA369" s="78"/>
      <c r="AB369" s="75"/>
      <c r="AJ369" s="72"/>
    </row>
    <row r="370" spans="1:36" s="69" customFormat="1" x14ac:dyDescent="0.25">
      <c r="A370" s="75"/>
      <c r="B370" s="75"/>
      <c r="C370" s="76"/>
      <c r="D370" s="76"/>
      <c r="E370" s="75"/>
      <c r="F370" s="75"/>
      <c r="G370" s="75"/>
      <c r="H370" s="75"/>
      <c r="I370" s="75"/>
      <c r="J370" s="75"/>
      <c r="K370" s="75"/>
      <c r="L370" s="75"/>
      <c r="M370" s="75"/>
      <c r="N370" s="75"/>
      <c r="O370" s="75"/>
      <c r="P370" s="75"/>
      <c r="Q370" s="75"/>
      <c r="R370" s="75"/>
      <c r="S370" s="75"/>
      <c r="T370" s="75"/>
      <c r="U370" s="75"/>
      <c r="V370" s="77"/>
      <c r="W370" s="75"/>
      <c r="X370" s="75"/>
      <c r="Y370" s="75"/>
      <c r="Z370" s="78"/>
      <c r="AA370" s="78"/>
      <c r="AB370" s="75"/>
      <c r="AJ370" s="72"/>
    </row>
    <row r="371" spans="1:36" s="69" customFormat="1" x14ac:dyDescent="0.25">
      <c r="A371" s="75"/>
      <c r="B371" s="75"/>
      <c r="C371" s="76"/>
      <c r="D371" s="76"/>
      <c r="E371" s="75"/>
      <c r="F371" s="75"/>
      <c r="G371" s="75"/>
      <c r="H371" s="75"/>
      <c r="I371" s="75"/>
      <c r="J371" s="75"/>
      <c r="K371" s="75"/>
      <c r="L371" s="75"/>
      <c r="M371" s="75"/>
      <c r="N371" s="75"/>
      <c r="O371" s="75"/>
      <c r="P371" s="75"/>
      <c r="Q371" s="75"/>
      <c r="R371" s="75"/>
      <c r="S371" s="75"/>
      <c r="T371" s="75"/>
      <c r="U371" s="75"/>
      <c r="V371" s="77"/>
      <c r="W371" s="75"/>
      <c r="X371" s="75"/>
      <c r="Y371" s="75"/>
      <c r="Z371" s="78"/>
      <c r="AA371" s="78"/>
      <c r="AB371" s="75"/>
      <c r="AJ371" s="72"/>
    </row>
    <row r="372" spans="1:36" s="69" customFormat="1" x14ac:dyDescent="0.25">
      <c r="A372" s="75"/>
      <c r="B372" s="75"/>
      <c r="C372" s="76"/>
      <c r="D372" s="76"/>
      <c r="E372" s="75"/>
      <c r="F372" s="75"/>
      <c r="G372" s="75"/>
      <c r="H372" s="75"/>
      <c r="I372" s="75"/>
      <c r="J372" s="75"/>
      <c r="K372" s="75"/>
      <c r="L372" s="75"/>
      <c r="M372" s="75"/>
      <c r="N372" s="75"/>
      <c r="O372" s="75"/>
      <c r="P372" s="75"/>
      <c r="Q372" s="75"/>
      <c r="R372" s="75"/>
      <c r="S372" s="75"/>
      <c r="T372" s="75"/>
      <c r="U372" s="75"/>
      <c r="V372" s="77"/>
      <c r="W372" s="75"/>
      <c r="X372" s="75"/>
      <c r="Y372" s="75"/>
      <c r="Z372" s="78"/>
      <c r="AA372" s="78"/>
      <c r="AB372" s="75"/>
      <c r="AJ372" s="72"/>
    </row>
    <row r="373" spans="1:36" s="69" customFormat="1" x14ac:dyDescent="0.25">
      <c r="A373" s="75"/>
      <c r="B373" s="75"/>
      <c r="C373" s="76"/>
      <c r="D373" s="76"/>
      <c r="E373" s="75"/>
      <c r="F373" s="75"/>
      <c r="G373" s="75"/>
      <c r="H373" s="75"/>
      <c r="I373" s="75"/>
      <c r="J373" s="75"/>
      <c r="K373" s="75"/>
      <c r="L373" s="75"/>
      <c r="M373" s="75"/>
      <c r="N373" s="75"/>
      <c r="O373" s="75"/>
      <c r="P373" s="75"/>
      <c r="Q373" s="75"/>
      <c r="R373" s="75"/>
      <c r="S373" s="75"/>
      <c r="T373" s="75"/>
      <c r="U373" s="75"/>
      <c r="V373" s="77"/>
      <c r="W373" s="75"/>
      <c r="X373" s="75"/>
      <c r="Y373" s="75"/>
      <c r="Z373" s="78"/>
      <c r="AA373" s="78"/>
      <c r="AB373" s="75"/>
      <c r="AJ373" s="72"/>
    </row>
    <row r="374" spans="1:36" s="69" customFormat="1" x14ac:dyDescent="0.25">
      <c r="A374" s="75"/>
      <c r="B374" s="75"/>
      <c r="C374" s="76"/>
      <c r="D374" s="76"/>
      <c r="E374" s="75"/>
      <c r="F374" s="75"/>
      <c r="G374" s="75"/>
      <c r="H374" s="75"/>
      <c r="I374" s="75"/>
      <c r="J374" s="75"/>
      <c r="K374" s="75"/>
      <c r="L374" s="75"/>
      <c r="M374" s="75"/>
      <c r="N374" s="75"/>
      <c r="O374" s="75"/>
      <c r="P374" s="75"/>
      <c r="Q374" s="75"/>
      <c r="R374" s="75"/>
      <c r="S374" s="75"/>
      <c r="T374" s="75"/>
      <c r="U374" s="75"/>
      <c r="V374" s="77"/>
      <c r="W374" s="75"/>
      <c r="X374" s="75"/>
      <c r="Y374" s="75"/>
      <c r="Z374" s="78"/>
      <c r="AA374" s="78"/>
      <c r="AB374" s="75"/>
      <c r="AJ374" s="72"/>
    </row>
    <row r="375" spans="1:36" s="69" customFormat="1" x14ac:dyDescent="0.25">
      <c r="A375" s="75"/>
      <c r="B375" s="75"/>
      <c r="C375" s="76"/>
      <c r="D375" s="76"/>
      <c r="E375" s="75"/>
      <c r="F375" s="75"/>
      <c r="G375" s="75"/>
      <c r="H375" s="75"/>
      <c r="I375" s="75"/>
      <c r="J375" s="75"/>
      <c r="K375" s="75"/>
      <c r="L375" s="75"/>
      <c r="M375" s="75"/>
      <c r="N375" s="75"/>
      <c r="O375" s="75"/>
      <c r="P375" s="75"/>
      <c r="Q375" s="75"/>
      <c r="R375" s="75"/>
      <c r="S375" s="75"/>
      <c r="T375" s="75"/>
      <c r="U375" s="75"/>
      <c r="V375" s="77"/>
      <c r="W375" s="75"/>
      <c r="X375" s="75"/>
      <c r="Y375" s="75"/>
      <c r="Z375" s="78"/>
      <c r="AA375" s="78"/>
      <c r="AB375" s="75"/>
      <c r="AJ375" s="72"/>
    </row>
    <row r="376" spans="1:36" s="69" customFormat="1" x14ac:dyDescent="0.25">
      <c r="A376" s="75"/>
      <c r="B376" s="75"/>
      <c r="C376" s="76"/>
      <c r="D376" s="76"/>
      <c r="E376" s="75"/>
      <c r="F376" s="75"/>
      <c r="G376" s="75"/>
      <c r="H376" s="75"/>
      <c r="I376" s="75"/>
      <c r="J376" s="75"/>
      <c r="K376" s="75"/>
      <c r="L376" s="75"/>
      <c r="M376" s="75"/>
      <c r="N376" s="75"/>
      <c r="O376" s="75"/>
      <c r="P376" s="75"/>
      <c r="Q376" s="75"/>
      <c r="R376" s="75"/>
      <c r="S376" s="75"/>
      <c r="T376" s="75"/>
      <c r="U376" s="75"/>
      <c r="V376" s="77"/>
      <c r="W376" s="75"/>
      <c r="X376" s="75"/>
      <c r="Y376" s="75"/>
      <c r="Z376" s="78"/>
      <c r="AA376" s="78"/>
      <c r="AB376" s="75"/>
      <c r="AJ376" s="72"/>
    </row>
    <row r="377" spans="1:36" s="69" customFormat="1" x14ac:dyDescent="0.25">
      <c r="A377" s="75"/>
      <c r="B377" s="75"/>
      <c r="C377" s="76"/>
      <c r="D377" s="76"/>
      <c r="E377" s="75"/>
      <c r="F377" s="75"/>
      <c r="G377" s="75"/>
      <c r="H377" s="75"/>
      <c r="I377" s="75"/>
      <c r="J377" s="75"/>
      <c r="K377" s="75"/>
      <c r="L377" s="75"/>
      <c r="M377" s="75"/>
      <c r="N377" s="75"/>
      <c r="O377" s="75"/>
      <c r="P377" s="75"/>
      <c r="Q377" s="75"/>
      <c r="R377" s="75"/>
      <c r="S377" s="75"/>
      <c r="T377" s="75"/>
      <c r="U377" s="75"/>
      <c r="V377" s="77"/>
      <c r="W377" s="75"/>
      <c r="X377" s="75"/>
      <c r="Y377" s="75"/>
      <c r="Z377" s="78"/>
      <c r="AA377" s="78"/>
      <c r="AB377" s="75"/>
      <c r="AJ377" s="72"/>
    </row>
    <row r="378" spans="1:36" s="69" customFormat="1" x14ac:dyDescent="0.25">
      <c r="A378" s="75"/>
      <c r="B378" s="75"/>
      <c r="C378" s="76"/>
      <c r="D378" s="76"/>
      <c r="E378" s="75"/>
      <c r="F378" s="75"/>
      <c r="G378" s="75"/>
      <c r="H378" s="75"/>
      <c r="I378" s="75"/>
      <c r="J378" s="75"/>
      <c r="K378" s="75"/>
      <c r="L378" s="75"/>
      <c r="M378" s="75"/>
      <c r="N378" s="75"/>
      <c r="O378" s="75"/>
      <c r="P378" s="75"/>
      <c r="Q378" s="75"/>
      <c r="R378" s="75"/>
      <c r="S378" s="75"/>
      <c r="T378" s="75"/>
      <c r="U378" s="75"/>
      <c r="V378" s="77"/>
      <c r="W378" s="75"/>
      <c r="X378" s="75"/>
      <c r="Y378" s="75"/>
      <c r="Z378" s="78"/>
      <c r="AA378" s="78"/>
      <c r="AB378" s="75"/>
      <c r="AJ378" s="72"/>
    </row>
    <row r="379" spans="1:36" s="69" customFormat="1" x14ac:dyDescent="0.25">
      <c r="A379" s="75"/>
      <c r="B379" s="75"/>
      <c r="C379" s="76"/>
      <c r="D379" s="76"/>
      <c r="E379" s="75"/>
      <c r="F379" s="75"/>
      <c r="G379" s="75"/>
      <c r="H379" s="75"/>
      <c r="I379" s="75"/>
      <c r="J379" s="75"/>
      <c r="K379" s="75"/>
      <c r="L379" s="75"/>
      <c r="M379" s="75"/>
      <c r="N379" s="75"/>
      <c r="O379" s="75"/>
      <c r="P379" s="75"/>
      <c r="Q379" s="75"/>
      <c r="R379" s="75"/>
      <c r="S379" s="75"/>
      <c r="T379" s="75"/>
      <c r="U379" s="75"/>
      <c r="V379" s="77"/>
      <c r="W379" s="75"/>
      <c r="X379" s="75"/>
      <c r="Y379" s="75"/>
      <c r="Z379" s="78"/>
      <c r="AA379" s="78"/>
      <c r="AB379" s="75"/>
      <c r="AJ379" s="72"/>
    </row>
    <row r="380" spans="1:36" s="69" customFormat="1" x14ac:dyDescent="0.25">
      <c r="A380" s="75"/>
      <c r="B380" s="75"/>
      <c r="C380" s="76"/>
      <c r="D380" s="76"/>
      <c r="E380" s="75"/>
      <c r="F380" s="75"/>
      <c r="G380" s="75"/>
      <c r="H380" s="75"/>
      <c r="I380" s="75"/>
      <c r="J380" s="75"/>
      <c r="K380" s="75"/>
      <c r="L380" s="75"/>
      <c r="M380" s="75"/>
      <c r="N380" s="75"/>
      <c r="O380" s="75"/>
      <c r="P380" s="75"/>
      <c r="Q380" s="75"/>
      <c r="R380" s="75"/>
      <c r="S380" s="75"/>
      <c r="T380" s="75"/>
      <c r="U380" s="75"/>
      <c r="V380" s="77"/>
      <c r="W380" s="75"/>
      <c r="X380" s="75"/>
      <c r="Y380" s="75"/>
      <c r="Z380" s="78"/>
      <c r="AA380" s="78"/>
      <c r="AB380" s="75"/>
      <c r="AJ380" s="72"/>
    </row>
    <row r="381" spans="1:36" s="69" customFormat="1" x14ac:dyDescent="0.25">
      <c r="A381" s="75"/>
      <c r="B381" s="75"/>
      <c r="C381" s="76"/>
      <c r="D381" s="76"/>
      <c r="E381" s="75"/>
      <c r="F381" s="75"/>
      <c r="G381" s="75"/>
      <c r="H381" s="75"/>
      <c r="I381" s="75"/>
      <c r="J381" s="75"/>
      <c r="K381" s="75"/>
      <c r="L381" s="75"/>
      <c r="M381" s="75"/>
      <c r="N381" s="75"/>
      <c r="O381" s="75"/>
      <c r="P381" s="75"/>
      <c r="Q381" s="75"/>
      <c r="R381" s="75"/>
      <c r="S381" s="75"/>
      <c r="T381" s="75"/>
      <c r="U381" s="75"/>
      <c r="V381" s="77"/>
      <c r="W381" s="75"/>
      <c r="X381" s="75"/>
      <c r="Y381" s="75"/>
      <c r="Z381" s="78"/>
      <c r="AA381" s="78"/>
      <c r="AB381" s="75"/>
      <c r="AJ381" s="72"/>
    </row>
    <row r="382" spans="1:36" s="69" customFormat="1" x14ac:dyDescent="0.25">
      <c r="A382" s="75"/>
      <c r="B382" s="75"/>
      <c r="C382" s="76"/>
      <c r="D382" s="76"/>
      <c r="E382" s="75"/>
      <c r="F382" s="75"/>
      <c r="G382" s="75"/>
      <c r="H382" s="75"/>
      <c r="I382" s="75"/>
      <c r="J382" s="75"/>
      <c r="K382" s="75"/>
      <c r="L382" s="75"/>
      <c r="M382" s="75"/>
      <c r="N382" s="75"/>
      <c r="O382" s="75"/>
      <c r="P382" s="75"/>
      <c r="Q382" s="75"/>
      <c r="R382" s="75"/>
      <c r="S382" s="75"/>
      <c r="T382" s="75"/>
      <c r="U382" s="75"/>
      <c r="V382" s="77"/>
      <c r="W382" s="75"/>
      <c r="X382" s="75"/>
      <c r="Y382" s="75"/>
      <c r="Z382" s="78"/>
      <c r="AA382" s="78"/>
      <c r="AB382" s="75"/>
      <c r="AJ382" s="72"/>
    </row>
    <row r="383" spans="1:36" s="69" customFormat="1" x14ac:dyDescent="0.25">
      <c r="A383" s="75"/>
      <c r="B383" s="75"/>
      <c r="C383" s="76"/>
      <c r="D383" s="76"/>
      <c r="E383" s="75"/>
      <c r="F383" s="75"/>
      <c r="G383" s="75"/>
      <c r="H383" s="75"/>
      <c r="I383" s="75"/>
      <c r="J383" s="75"/>
      <c r="K383" s="75"/>
      <c r="L383" s="75"/>
      <c r="M383" s="75"/>
      <c r="N383" s="75"/>
      <c r="O383" s="75"/>
      <c r="P383" s="75"/>
      <c r="Q383" s="75"/>
      <c r="R383" s="75"/>
      <c r="S383" s="75"/>
      <c r="T383" s="75"/>
      <c r="U383" s="75"/>
      <c r="V383" s="77"/>
      <c r="W383" s="75"/>
      <c r="X383" s="75"/>
      <c r="Y383" s="75"/>
      <c r="Z383" s="78"/>
      <c r="AA383" s="78"/>
      <c r="AB383" s="75"/>
      <c r="AJ383" s="72"/>
    </row>
    <row r="384" spans="1:36" s="69" customFormat="1" x14ac:dyDescent="0.25">
      <c r="A384" s="75"/>
      <c r="B384" s="75"/>
      <c r="C384" s="76"/>
      <c r="D384" s="76"/>
      <c r="E384" s="75"/>
      <c r="F384" s="75"/>
      <c r="G384" s="75"/>
      <c r="H384" s="75"/>
      <c r="I384" s="75"/>
      <c r="J384" s="75"/>
      <c r="K384" s="75"/>
      <c r="L384" s="75"/>
      <c r="M384" s="75"/>
      <c r="N384" s="75"/>
      <c r="O384" s="75"/>
      <c r="P384" s="75"/>
      <c r="Q384" s="75"/>
      <c r="R384" s="75"/>
      <c r="S384" s="75"/>
      <c r="T384" s="75"/>
      <c r="U384" s="75"/>
      <c r="V384" s="77"/>
      <c r="W384" s="75"/>
      <c r="X384" s="75"/>
      <c r="Y384" s="75"/>
      <c r="Z384" s="78"/>
      <c r="AA384" s="78"/>
      <c r="AB384" s="75"/>
      <c r="AJ384" s="72"/>
    </row>
    <row r="385" spans="1:36" s="69" customFormat="1" x14ac:dyDescent="0.25">
      <c r="A385" s="75"/>
      <c r="B385" s="75"/>
      <c r="C385" s="76"/>
      <c r="D385" s="76"/>
      <c r="E385" s="75"/>
      <c r="F385" s="75"/>
      <c r="G385" s="75"/>
      <c r="H385" s="75"/>
      <c r="I385" s="75"/>
      <c r="J385" s="75"/>
      <c r="K385" s="75"/>
      <c r="L385" s="75"/>
      <c r="M385" s="75"/>
      <c r="N385" s="75"/>
      <c r="O385" s="75"/>
      <c r="P385" s="75"/>
      <c r="Q385" s="75"/>
      <c r="R385" s="75"/>
      <c r="S385" s="75"/>
      <c r="T385" s="75"/>
      <c r="U385" s="75"/>
      <c r="V385" s="77"/>
      <c r="W385" s="75"/>
      <c r="X385" s="75"/>
      <c r="Y385" s="75"/>
      <c r="Z385" s="78"/>
      <c r="AA385" s="78"/>
      <c r="AB385" s="75"/>
      <c r="AJ385" s="72"/>
    </row>
    <row r="386" spans="1:36" s="69" customFormat="1" x14ac:dyDescent="0.25">
      <c r="A386" s="75"/>
      <c r="B386" s="75"/>
      <c r="C386" s="76"/>
      <c r="D386" s="76"/>
      <c r="E386" s="75"/>
      <c r="F386" s="75"/>
      <c r="G386" s="75"/>
      <c r="H386" s="75"/>
      <c r="I386" s="75"/>
      <c r="J386" s="75"/>
      <c r="K386" s="75"/>
      <c r="L386" s="75"/>
      <c r="M386" s="75"/>
      <c r="N386" s="75"/>
      <c r="O386" s="75"/>
      <c r="P386" s="75"/>
      <c r="Q386" s="75"/>
      <c r="R386" s="75"/>
      <c r="S386" s="75"/>
      <c r="T386" s="75"/>
      <c r="U386" s="75"/>
      <c r="V386" s="77"/>
      <c r="W386" s="75"/>
      <c r="X386" s="75"/>
      <c r="Y386" s="75"/>
      <c r="Z386" s="78"/>
      <c r="AA386" s="78"/>
      <c r="AB386" s="75"/>
      <c r="AJ386" s="72"/>
    </row>
    <row r="387" spans="1:36" s="69" customFormat="1" x14ac:dyDescent="0.25">
      <c r="A387" s="75"/>
      <c r="B387" s="75"/>
      <c r="C387" s="76"/>
      <c r="D387" s="76"/>
      <c r="E387" s="75"/>
      <c r="F387" s="75"/>
      <c r="G387" s="75"/>
      <c r="H387" s="75"/>
      <c r="I387" s="75"/>
      <c r="J387" s="75"/>
      <c r="K387" s="75"/>
      <c r="L387" s="75"/>
      <c r="M387" s="75"/>
      <c r="N387" s="75"/>
      <c r="O387" s="75"/>
      <c r="P387" s="75"/>
      <c r="Q387" s="75"/>
      <c r="R387" s="75"/>
      <c r="S387" s="75"/>
      <c r="T387" s="75"/>
      <c r="U387" s="75"/>
      <c r="V387" s="77"/>
      <c r="W387" s="75"/>
      <c r="X387" s="75"/>
      <c r="Y387" s="75"/>
      <c r="Z387" s="78"/>
      <c r="AA387" s="78"/>
      <c r="AB387" s="75"/>
      <c r="AJ387" s="72"/>
    </row>
    <row r="388" spans="1:36" s="69" customFormat="1" x14ac:dyDescent="0.25">
      <c r="A388" s="75"/>
      <c r="B388" s="75"/>
      <c r="C388" s="76"/>
      <c r="D388" s="76"/>
      <c r="E388" s="75"/>
      <c r="F388" s="75"/>
      <c r="G388" s="75"/>
      <c r="H388" s="75"/>
      <c r="I388" s="75"/>
      <c r="J388" s="75"/>
      <c r="K388" s="75"/>
      <c r="L388" s="75"/>
      <c r="M388" s="75"/>
      <c r="N388" s="75"/>
      <c r="O388" s="75"/>
      <c r="P388" s="75"/>
      <c r="Q388" s="75"/>
      <c r="R388" s="75"/>
      <c r="S388" s="75"/>
      <c r="T388" s="75"/>
      <c r="U388" s="75"/>
      <c r="V388" s="77"/>
      <c r="W388" s="75"/>
      <c r="X388" s="75"/>
      <c r="Y388" s="75"/>
      <c r="Z388" s="78"/>
      <c r="AA388" s="78"/>
      <c r="AB388" s="75"/>
      <c r="AJ388" s="72"/>
    </row>
    <row r="389" spans="1:36" s="69" customFormat="1" x14ac:dyDescent="0.25">
      <c r="A389" s="75"/>
      <c r="B389" s="75"/>
      <c r="C389" s="76"/>
      <c r="D389" s="76"/>
      <c r="E389" s="75"/>
      <c r="F389" s="75"/>
      <c r="G389" s="75"/>
      <c r="H389" s="75"/>
      <c r="I389" s="75"/>
      <c r="J389" s="75"/>
      <c r="K389" s="75"/>
      <c r="L389" s="75"/>
      <c r="M389" s="75"/>
      <c r="N389" s="75"/>
      <c r="O389" s="75"/>
      <c r="P389" s="75"/>
      <c r="Q389" s="75"/>
      <c r="R389" s="75"/>
      <c r="S389" s="75"/>
      <c r="T389" s="75"/>
      <c r="U389" s="75"/>
      <c r="V389" s="77"/>
      <c r="W389" s="75"/>
      <c r="X389" s="75"/>
      <c r="Y389" s="75"/>
      <c r="Z389" s="78"/>
      <c r="AA389" s="78"/>
      <c r="AB389" s="75"/>
      <c r="AJ389" s="72"/>
    </row>
    <row r="390" spans="1:36" s="69" customFormat="1" x14ac:dyDescent="0.25">
      <c r="A390" s="75"/>
      <c r="B390" s="75"/>
      <c r="C390" s="76"/>
      <c r="D390" s="76"/>
      <c r="E390" s="75"/>
      <c r="F390" s="75"/>
      <c r="G390" s="75"/>
      <c r="H390" s="75"/>
      <c r="I390" s="75"/>
      <c r="J390" s="75"/>
      <c r="K390" s="75"/>
      <c r="L390" s="75"/>
      <c r="M390" s="75"/>
      <c r="N390" s="75"/>
      <c r="O390" s="75"/>
      <c r="P390" s="75"/>
      <c r="Q390" s="75"/>
      <c r="R390" s="75"/>
      <c r="S390" s="75"/>
      <c r="T390" s="75"/>
      <c r="U390" s="75"/>
      <c r="V390" s="77"/>
      <c r="W390" s="75"/>
      <c r="X390" s="75"/>
      <c r="Y390" s="75"/>
      <c r="Z390" s="78"/>
      <c r="AA390" s="78"/>
      <c r="AB390" s="75"/>
      <c r="AJ390" s="72"/>
    </row>
    <row r="391" spans="1:36" s="69" customFormat="1" x14ac:dyDescent="0.25">
      <c r="A391" s="75"/>
      <c r="B391" s="75"/>
      <c r="C391" s="76"/>
      <c r="D391" s="76"/>
      <c r="E391" s="75"/>
      <c r="F391" s="75"/>
      <c r="G391" s="75"/>
      <c r="H391" s="75"/>
      <c r="I391" s="75"/>
      <c r="J391" s="75"/>
      <c r="K391" s="75"/>
      <c r="L391" s="75"/>
      <c r="M391" s="75"/>
      <c r="N391" s="75"/>
      <c r="O391" s="75"/>
      <c r="P391" s="75"/>
      <c r="Q391" s="75"/>
      <c r="R391" s="75"/>
      <c r="S391" s="75"/>
      <c r="T391" s="75"/>
      <c r="U391" s="75"/>
      <c r="V391" s="77"/>
      <c r="W391" s="75"/>
      <c r="X391" s="75"/>
      <c r="Y391" s="75"/>
      <c r="Z391" s="78"/>
      <c r="AA391" s="78"/>
      <c r="AB391" s="75"/>
      <c r="AJ391" s="72"/>
    </row>
    <row r="392" spans="1:36" s="69" customFormat="1" x14ac:dyDescent="0.25">
      <c r="A392" s="75"/>
      <c r="B392" s="75"/>
      <c r="C392" s="76"/>
      <c r="D392" s="76"/>
      <c r="E392" s="75"/>
      <c r="F392" s="75"/>
      <c r="G392" s="75"/>
      <c r="H392" s="75"/>
      <c r="I392" s="75"/>
      <c r="J392" s="75"/>
      <c r="K392" s="75"/>
      <c r="L392" s="75"/>
      <c r="M392" s="75"/>
      <c r="N392" s="75"/>
      <c r="O392" s="75"/>
      <c r="P392" s="75"/>
      <c r="Q392" s="75"/>
      <c r="R392" s="75"/>
      <c r="S392" s="75"/>
      <c r="T392" s="75"/>
      <c r="U392" s="75"/>
      <c r="V392" s="77"/>
      <c r="W392" s="75"/>
      <c r="X392" s="75"/>
      <c r="Y392" s="75"/>
      <c r="Z392" s="78"/>
      <c r="AA392" s="78"/>
      <c r="AB392" s="75"/>
      <c r="AJ392" s="72"/>
    </row>
    <row r="393" spans="1:36" s="69" customFormat="1" x14ac:dyDescent="0.25">
      <c r="A393" s="75"/>
      <c r="B393" s="75"/>
      <c r="C393" s="76"/>
      <c r="D393" s="76"/>
      <c r="E393" s="75"/>
      <c r="F393" s="75"/>
      <c r="G393" s="75"/>
      <c r="H393" s="75"/>
      <c r="I393" s="75"/>
      <c r="J393" s="75"/>
      <c r="K393" s="75"/>
      <c r="L393" s="75"/>
      <c r="M393" s="75"/>
      <c r="N393" s="75"/>
      <c r="O393" s="75"/>
      <c r="P393" s="75"/>
      <c r="Q393" s="75"/>
      <c r="R393" s="75"/>
      <c r="S393" s="75"/>
      <c r="T393" s="75"/>
      <c r="U393" s="75"/>
      <c r="V393" s="77"/>
      <c r="W393" s="75"/>
      <c r="X393" s="75"/>
      <c r="Y393" s="75"/>
      <c r="Z393" s="78"/>
      <c r="AA393" s="78"/>
      <c r="AB393" s="75"/>
      <c r="AJ393" s="72"/>
    </row>
    <row r="394" spans="1:36" s="69" customFormat="1" x14ac:dyDescent="0.25">
      <c r="A394" s="75"/>
      <c r="B394" s="75"/>
      <c r="C394" s="76"/>
      <c r="D394" s="76"/>
      <c r="E394" s="75"/>
      <c r="F394" s="75"/>
      <c r="G394" s="75"/>
      <c r="H394" s="75"/>
      <c r="I394" s="75"/>
      <c r="J394" s="75"/>
      <c r="K394" s="75"/>
      <c r="L394" s="75"/>
      <c r="M394" s="75"/>
      <c r="N394" s="75"/>
      <c r="O394" s="75"/>
      <c r="P394" s="75"/>
      <c r="Q394" s="75"/>
      <c r="R394" s="75"/>
      <c r="S394" s="75"/>
      <c r="T394" s="75"/>
      <c r="U394" s="75"/>
      <c r="V394" s="77"/>
      <c r="W394" s="75"/>
      <c r="X394" s="75"/>
      <c r="Y394" s="75"/>
      <c r="Z394" s="78"/>
      <c r="AA394" s="78"/>
      <c r="AB394" s="75"/>
      <c r="AJ394" s="72"/>
    </row>
    <row r="395" spans="1:36" s="69" customFormat="1" x14ac:dyDescent="0.25">
      <c r="A395" s="75"/>
      <c r="B395" s="75"/>
      <c r="C395" s="76"/>
      <c r="D395" s="76"/>
      <c r="E395" s="75"/>
      <c r="F395" s="75"/>
      <c r="G395" s="75"/>
      <c r="H395" s="75"/>
      <c r="I395" s="75"/>
      <c r="J395" s="75"/>
      <c r="K395" s="75"/>
      <c r="L395" s="75"/>
      <c r="M395" s="75"/>
      <c r="N395" s="75"/>
      <c r="O395" s="75"/>
      <c r="P395" s="75"/>
      <c r="Q395" s="75"/>
      <c r="R395" s="75"/>
      <c r="S395" s="75"/>
      <c r="T395" s="75"/>
      <c r="U395" s="75"/>
      <c r="V395" s="77"/>
      <c r="W395" s="75"/>
      <c r="X395" s="75"/>
      <c r="Y395" s="75"/>
      <c r="Z395" s="78"/>
      <c r="AA395" s="78"/>
      <c r="AB395" s="75"/>
      <c r="AJ395" s="72"/>
    </row>
    <row r="396" spans="1:36" s="69" customFormat="1" x14ac:dyDescent="0.25">
      <c r="A396" s="75"/>
      <c r="B396" s="75"/>
      <c r="C396" s="76"/>
      <c r="D396" s="76"/>
      <c r="E396" s="75"/>
      <c r="F396" s="75"/>
      <c r="G396" s="75"/>
      <c r="H396" s="75"/>
      <c r="I396" s="75"/>
      <c r="J396" s="75"/>
      <c r="K396" s="75"/>
      <c r="L396" s="75"/>
      <c r="M396" s="75"/>
      <c r="N396" s="75"/>
      <c r="O396" s="75"/>
      <c r="P396" s="75"/>
      <c r="Q396" s="75"/>
      <c r="R396" s="75"/>
      <c r="S396" s="75"/>
      <c r="T396" s="75"/>
      <c r="U396" s="75"/>
      <c r="V396" s="77"/>
      <c r="W396" s="75"/>
      <c r="X396" s="75"/>
      <c r="Y396" s="75"/>
      <c r="Z396" s="78"/>
      <c r="AA396" s="78"/>
      <c r="AB396" s="75"/>
      <c r="AJ396" s="72"/>
    </row>
    <row r="397" spans="1:36" s="69" customFormat="1" x14ac:dyDescent="0.25">
      <c r="A397" s="75"/>
      <c r="B397" s="75"/>
      <c r="C397" s="76"/>
      <c r="D397" s="76"/>
      <c r="E397" s="75"/>
      <c r="F397" s="75"/>
      <c r="G397" s="75"/>
      <c r="H397" s="75"/>
      <c r="I397" s="75"/>
      <c r="J397" s="75"/>
      <c r="K397" s="75"/>
      <c r="L397" s="75"/>
      <c r="M397" s="75"/>
      <c r="N397" s="75"/>
      <c r="O397" s="75"/>
      <c r="P397" s="75"/>
      <c r="Q397" s="75"/>
      <c r="R397" s="75"/>
      <c r="S397" s="75"/>
      <c r="T397" s="75"/>
      <c r="U397" s="75"/>
      <c r="V397" s="77"/>
      <c r="W397" s="75"/>
      <c r="X397" s="75"/>
      <c r="Y397" s="75"/>
      <c r="Z397" s="78"/>
      <c r="AA397" s="78"/>
      <c r="AB397" s="75"/>
      <c r="AJ397" s="72"/>
    </row>
    <row r="398" spans="1:36" s="69" customFormat="1" x14ac:dyDescent="0.25">
      <c r="A398" s="75"/>
      <c r="B398" s="75"/>
      <c r="C398" s="76"/>
      <c r="D398" s="76"/>
      <c r="E398" s="75"/>
      <c r="F398" s="75"/>
      <c r="G398" s="75"/>
      <c r="H398" s="75"/>
      <c r="I398" s="75"/>
      <c r="J398" s="75"/>
      <c r="K398" s="75"/>
      <c r="L398" s="75"/>
      <c r="M398" s="75"/>
      <c r="N398" s="75"/>
      <c r="O398" s="75"/>
      <c r="P398" s="75"/>
      <c r="Q398" s="75"/>
      <c r="R398" s="75"/>
      <c r="S398" s="75"/>
      <c r="T398" s="75"/>
      <c r="U398" s="75"/>
      <c r="V398" s="77"/>
      <c r="W398" s="75"/>
      <c r="X398" s="75"/>
      <c r="Y398" s="75"/>
      <c r="Z398" s="78"/>
      <c r="AA398" s="78"/>
      <c r="AB398" s="75"/>
      <c r="AJ398" s="72"/>
    </row>
    <row r="399" spans="1:36" s="69" customFormat="1" x14ac:dyDescent="0.25">
      <c r="A399" s="75"/>
      <c r="B399" s="75"/>
      <c r="C399" s="76"/>
      <c r="D399" s="76"/>
      <c r="E399" s="75"/>
      <c r="F399" s="75"/>
      <c r="G399" s="75"/>
      <c r="H399" s="75"/>
      <c r="I399" s="75"/>
      <c r="J399" s="75"/>
      <c r="K399" s="75"/>
      <c r="L399" s="75"/>
      <c r="M399" s="75"/>
      <c r="N399" s="75"/>
      <c r="O399" s="75"/>
      <c r="P399" s="75"/>
      <c r="Q399" s="75"/>
      <c r="R399" s="75"/>
      <c r="S399" s="75"/>
      <c r="T399" s="75"/>
      <c r="U399" s="75"/>
      <c r="V399" s="77"/>
      <c r="W399" s="75"/>
      <c r="X399" s="75"/>
      <c r="Y399" s="75"/>
      <c r="Z399" s="78"/>
      <c r="AA399" s="78"/>
      <c r="AB399" s="75"/>
      <c r="AJ399" s="72"/>
    </row>
    <row r="400" spans="1:36" s="69" customFormat="1" x14ac:dyDescent="0.25">
      <c r="A400" s="75"/>
      <c r="B400" s="75"/>
      <c r="C400" s="76"/>
      <c r="D400" s="76"/>
      <c r="E400" s="75"/>
      <c r="F400" s="75"/>
      <c r="G400" s="75"/>
      <c r="H400" s="75"/>
      <c r="I400" s="75"/>
      <c r="J400" s="75"/>
      <c r="K400" s="75"/>
      <c r="L400" s="75"/>
      <c r="M400" s="75"/>
      <c r="N400" s="75"/>
      <c r="O400" s="75"/>
      <c r="P400" s="75"/>
      <c r="Q400" s="75"/>
      <c r="R400" s="75"/>
      <c r="S400" s="75"/>
      <c r="T400" s="75"/>
      <c r="U400" s="75"/>
      <c r="V400" s="77"/>
      <c r="W400" s="75"/>
      <c r="X400" s="75"/>
      <c r="Y400" s="75"/>
      <c r="Z400" s="78"/>
      <c r="AA400" s="78"/>
      <c r="AB400" s="75"/>
      <c r="AJ400" s="72"/>
    </row>
    <row r="401" spans="1:36" s="69" customFormat="1" x14ac:dyDescent="0.25">
      <c r="A401" s="75"/>
      <c r="B401" s="75"/>
      <c r="C401" s="76"/>
      <c r="D401" s="76"/>
      <c r="E401" s="75"/>
      <c r="F401" s="75"/>
      <c r="G401" s="75"/>
      <c r="H401" s="75"/>
      <c r="I401" s="75"/>
      <c r="J401" s="75"/>
      <c r="K401" s="75"/>
      <c r="L401" s="75"/>
      <c r="M401" s="75"/>
      <c r="N401" s="75"/>
      <c r="O401" s="75"/>
      <c r="P401" s="75"/>
      <c r="Q401" s="75"/>
      <c r="R401" s="75"/>
      <c r="S401" s="75"/>
      <c r="T401" s="75"/>
      <c r="U401" s="75"/>
      <c r="V401" s="77"/>
      <c r="W401" s="75"/>
      <c r="X401" s="75"/>
      <c r="Y401" s="75"/>
      <c r="Z401" s="78"/>
      <c r="AA401" s="78"/>
      <c r="AB401" s="75"/>
      <c r="AJ401" s="72"/>
    </row>
    <row r="402" spans="1:36" s="69" customFormat="1" x14ac:dyDescent="0.25">
      <c r="A402" s="75"/>
      <c r="B402" s="75"/>
      <c r="C402" s="76"/>
      <c r="D402" s="76"/>
      <c r="E402" s="75"/>
      <c r="F402" s="75"/>
      <c r="G402" s="75"/>
      <c r="H402" s="75"/>
      <c r="I402" s="75"/>
      <c r="J402" s="75"/>
      <c r="K402" s="75"/>
      <c r="L402" s="75"/>
      <c r="M402" s="75"/>
      <c r="N402" s="75"/>
      <c r="O402" s="75"/>
      <c r="P402" s="75"/>
      <c r="Q402" s="75"/>
      <c r="R402" s="75"/>
      <c r="S402" s="75"/>
      <c r="T402" s="75"/>
      <c r="U402" s="75"/>
      <c r="V402" s="77"/>
      <c r="W402" s="75"/>
      <c r="X402" s="75"/>
      <c r="Y402" s="75"/>
      <c r="Z402" s="78"/>
      <c r="AA402" s="78"/>
      <c r="AB402" s="75"/>
      <c r="AJ402" s="72"/>
    </row>
    <row r="403" spans="1:36" s="69" customFormat="1" x14ac:dyDescent="0.25">
      <c r="A403" s="75"/>
      <c r="B403" s="75"/>
      <c r="C403" s="76"/>
      <c r="D403" s="76"/>
      <c r="E403" s="75"/>
      <c r="F403" s="75"/>
      <c r="G403" s="75"/>
      <c r="H403" s="75"/>
      <c r="I403" s="75"/>
      <c r="J403" s="75"/>
      <c r="K403" s="75"/>
      <c r="L403" s="75"/>
      <c r="M403" s="75"/>
      <c r="N403" s="75"/>
      <c r="O403" s="75"/>
      <c r="P403" s="75"/>
      <c r="Q403" s="75"/>
      <c r="R403" s="75"/>
      <c r="S403" s="75"/>
      <c r="T403" s="75"/>
      <c r="U403" s="75"/>
      <c r="V403" s="77"/>
      <c r="W403" s="75"/>
      <c r="X403" s="75"/>
      <c r="Y403" s="75"/>
      <c r="Z403" s="78"/>
      <c r="AA403" s="78"/>
      <c r="AB403" s="75"/>
      <c r="AJ403" s="72"/>
    </row>
    <row r="404" spans="1:36" s="69" customFormat="1" x14ac:dyDescent="0.25">
      <c r="A404" s="75"/>
      <c r="B404" s="75"/>
      <c r="C404" s="76"/>
      <c r="D404" s="76"/>
      <c r="E404" s="75"/>
      <c r="F404" s="75"/>
      <c r="G404" s="75"/>
      <c r="H404" s="75"/>
      <c r="I404" s="75"/>
      <c r="J404" s="75"/>
      <c r="K404" s="75"/>
      <c r="L404" s="75"/>
      <c r="M404" s="75"/>
      <c r="N404" s="75"/>
      <c r="O404" s="75"/>
      <c r="P404" s="75"/>
      <c r="Q404" s="75"/>
      <c r="R404" s="75"/>
      <c r="S404" s="75"/>
      <c r="T404" s="75"/>
      <c r="U404" s="75"/>
      <c r="V404" s="77"/>
      <c r="W404" s="75"/>
      <c r="X404" s="75"/>
      <c r="Y404" s="75"/>
      <c r="Z404" s="78"/>
      <c r="AA404" s="78"/>
      <c r="AB404" s="75"/>
      <c r="AJ404" s="72"/>
    </row>
    <row r="405" spans="1:36" s="69" customFormat="1" x14ac:dyDescent="0.25">
      <c r="A405" s="75"/>
      <c r="B405" s="75"/>
      <c r="C405" s="76"/>
      <c r="D405" s="76"/>
      <c r="E405" s="75"/>
      <c r="F405" s="75"/>
      <c r="G405" s="75"/>
      <c r="H405" s="75"/>
      <c r="I405" s="75"/>
      <c r="J405" s="75"/>
      <c r="K405" s="75"/>
      <c r="L405" s="75"/>
      <c r="M405" s="75"/>
      <c r="N405" s="75"/>
      <c r="O405" s="75"/>
      <c r="P405" s="75"/>
      <c r="Q405" s="75"/>
      <c r="R405" s="75"/>
      <c r="S405" s="75"/>
      <c r="T405" s="75"/>
      <c r="U405" s="75"/>
      <c r="V405" s="77"/>
      <c r="W405" s="75"/>
      <c r="X405" s="75"/>
      <c r="Y405" s="75"/>
      <c r="Z405" s="78"/>
      <c r="AA405" s="78"/>
      <c r="AB405" s="75"/>
      <c r="AJ405" s="72"/>
    </row>
    <row r="406" spans="1:36" s="69" customFormat="1" x14ac:dyDescent="0.25">
      <c r="A406" s="75"/>
      <c r="B406" s="75"/>
      <c r="C406" s="76"/>
      <c r="D406" s="76"/>
      <c r="E406" s="75"/>
      <c r="F406" s="75"/>
      <c r="G406" s="75"/>
      <c r="H406" s="75"/>
      <c r="I406" s="75"/>
      <c r="J406" s="75"/>
      <c r="K406" s="75"/>
      <c r="L406" s="75"/>
      <c r="M406" s="75"/>
      <c r="N406" s="75"/>
      <c r="O406" s="75"/>
      <c r="P406" s="75"/>
      <c r="Q406" s="75"/>
      <c r="R406" s="75"/>
      <c r="S406" s="75"/>
      <c r="T406" s="75"/>
      <c r="U406" s="75"/>
      <c r="V406" s="77"/>
      <c r="W406" s="75"/>
      <c r="X406" s="75"/>
      <c r="Y406" s="75"/>
      <c r="Z406" s="78"/>
      <c r="AA406" s="78"/>
      <c r="AB406" s="75"/>
      <c r="AJ406" s="72"/>
    </row>
    <row r="407" spans="1:36" s="69" customFormat="1" x14ac:dyDescent="0.25">
      <c r="A407" s="75"/>
      <c r="B407" s="75"/>
      <c r="C407" s="76"/>
      <c r="D407" s="76"/>
      <c r="E407" s="75"/>
      <c r="F407" s="75"/>
      <c r="G407" s="75"/>
      <c r="H407" s="75"/>
      <c r="I407" s="75"/>
      <c r="J407" s="75"/>
      <c r="K407" s="75"/>
      <c r="L407" s="75"/>
      <c r="M407" s="75"/>
      <c r="N407" s="75"/>
      <c r="O407" s="75"/>
      <c r="P407" s="75"/>
      <c r="Q407" s="75"/>
      <c r="R407" s="75"/>
      <c r="S407" s="75"/>
      <c r="T407" s="75"/>
      <c r="U407" s="75"/>
      <c r="V407" s="77"/>
      <c r="W407" s="75"/>
      <c r="X407" s="75"/>
      <c r="Y407" s="75"/>
      <c r="Z407" s="78"/>
      <c r="AA407" s="78"/>
      <c r="AB407" s="75"/>
      <c r="AJ407" s="72"/>
    </row>
    <row r="408" spans="1:36" s="69" customFormat="1" x14ac:dyDescent="0.25">
      <c r="A408" s="75"/>
      <c r="B408" s="75"/>
      <c r="C408" s="76"/>
      <c r="D408" s="76"/>
      <c r="E408" s="75"/>
      <c r="F408" s="75"/>
      <c r="G408" s="75"/>
      <c r="H408" s="75"/>
      <c r="I408" s="75"/>
      <c r="J408" s="75"/>
      <c r="K408" s="75"/>
      <c r="L408" s="75"/>
      <c r="M408" s="75"/>
      <c r="N408" s="75"/>
      <c r="O408" s="75"/>
      <c r="P408" s="75"/>
      <c r="Q408" s="75"/>
      <c r="R408" s="75"/>
      <c r="S408" s="75"/>
      <c r="T408" s="75"/>
      <c r="U408" s="75"/>
      <c r="V408" s="77"/>
      <c r="W408" s="75"/>
      <c r="X408" s="75"/>
      <c r="Y408" s="75"/>
      <c r="Z408" s="78"/>
      <c r="AA408" s="78"/>
      <c r="AB408" s="75"/>
      <c r="AJ408" s="72"/>
    </row>
    <row r="409" spans="1:36" s="69" customFormat="1" x14ac:dyDescent="0.25">
      <c r="A409" s="75"/>
      <c r="B409" s="75"/>
      <c r="C409" s="76"/>
      <c r="D409" s="76"/>
      <c r="E409" s="75"/>
      <c r="F409" s="75"/>
      <c r="G409" s="75"/>
      <c r="H409" s="75"/>
      <c r="I409" s="75"/>
      <c r="J409" s="75"/>
      <c r="K409" s="75"/>
      <c r="L409" s="75"/>
      <c r="M409" s="75"/>
      <c r="N409" s="75"/>
      <c r="O409" s="75"/>
      <c r="P409" s="75"/>
      <c r="Q409" s="75"/>
      <c r="R409" s="75"/>
      <c r="S409" s="75"/>
      <c r="T409" s="75"/>
      <c r="U409" s="75"/>
      <c r="V409" s="77"/>
      <c r="W409" s="75"/>
      <c r="X409" s="75"/>
      <c r="Y409" s="75"/>
      <c r="Z409" s="78"/>
      <c r="AA409" s="78"/>
      <c r="AB409" s="75"/>
      <c r="AJ409" s="72"/>
    </row>
    <row r="410" spans="1:36" s="69" customFormat="1" x14ac:dyDescent="0.25">
      <c r="A410" s="75"/>
      <c r="B410" s="75"/>
      <c r="C410" s="76"/>
      <c r="D410" s="76"/>
      <c r="E410" s="75"/>
      <c r="F410" s="75"/>
      <c r="G410" s="75"/>
      <c r="H410" s="75"/>
      <c r="I410" s="75"/>
      <c r="J410" s="75"/>
      <c r="K410" s="75"/>
      <c r="L410" s="75"/>
      <c r="M410" s="75"/>
      <c r="N410" s="75"/>
      <c r="O410" s="75"/>
      <c r="P410" s="75"/>
      <c r="Q410" s="75"/>
      <c r="R410" s="75"/>
      <c r="S410" s="75"/>
      <c r="T410" s="75"/>
      <c r="U410" s="75"/>
      <c r="V410" s="77"/>
      <c r="W410" s="75"/>
      <c r="X410" s="75"/>
      <c r="Y410" s="75"/>
      <c r="Z410" s="78"/>
      <c r="AA410" s="78"/>
      <c r="AB410" s="75"/>
      <c r="AJ410" s="72"/>
    </row>
    <row r="411" spans="1:36" s="69" customFormat="1" x14ac:dyDescent="0.25">
      <c r="A411" s="75"/>
      <c r="B411" s="75"/>
      <c r="C411" s="76"/>
      <c r="D411" s="76"/>
      <c r="E411" s="75"/>
      <c r="F411" s="75"/>
      <c r="G411" s="75"/>
      <c r="H411" s="75"/>
      <c r="I411" s="75"/>
      <c r="J411" s="75"/>
      <c r="K411" s="75"/>
      <c r="L411" s="75"/>
      <c r="M411" s="75"/>
      <c r="N411" s="75"/>
      <c r="O411" s="75"/>
      <c r="P411" s="75"/>
      <c r="Q411" s="75"/>
      <c r="R411" s="75"/>
      <c r="S411" s="75"/>
      <c r="T411" s="75"/>
      <c r="U411" s="75"/>
      <c r="V411" s="77"/>
      <c r="W411" s="75"/>
      <c r="X411" s="75"/>
      <c r="Y411" s="75"/>
      <c r="Z411" s="78"/>
      <c r="AA411" s="78"/>
      <c r="AB411" s="75"/>
      <c r="AJ411" s="72"/>
    </row>
    <row r="412" spans="1:36" s="69" customFormat="1" x14ac:dyDescent="0.25">
      <c r="A412" s="75"/>
      <c r="B412" s="75"/>
      <c r="C412" s="76"/>
      <c r="D412" s="76"/>
      <c r="E412" s="75"/>
      <c r="F412" s="75"/>
      <c r="G412" s="75"/>
      <c r="H412" s="75"/>
      <c r="I412" s="75"/>
      <c r="J412" s="75"/>
      <c r="K412" s="75"/>
      <c r="L412" s="75"/>
      <c r="M412" s="75"/>
      <c r="N412" s="75"/>
      <c r="O412" s="75"/>
      <c r="P412" s="75"/>
      <c r="Q412" s="75"/>
      <c r="R412" s="75"/>
      <c r="S412" s="75"/>
      <c r="T412" s="75"/>
      <c r="U412" s="75"/>
      <c r="V412" s="77"/>
      <c r="W412" s="75"/>
      <c r="X412" s="75"/>
      <c r="Y412" s="75"/>
      <c r="Z412" s="78"/>
      <c r="AA412" s="78"/>
      <c r="AB412" s="75"/>
      <c r="AJ412" s="72"/>
    </row>
    <row r="413" spans="1:36" s="69" customFormat="1" x14ac:dyDescent="0.25">
      <c r="A413" s="75"/>
      <c r="B413" s="75"/>
      <c r="C413" s="76"/>
      <c r="D413" s="76"/>
      <c r="E413" s="75"/>
      <c r="F413" s="75"/>
      <c r="G413" s="75"/>
      <c r="H413" s="75"/>
      <c r="I413" s="75"/>
      <c r="J413" s="75"/>
      <c r="K413" s="75"/>
      <c r="L413" s="75"/>
      <c r="M413" s="75"/>
      <c r="N413" s="75"/>
      <c r="O413" s="75"/>
      <c r="P413" s="75"/>
      <c r="Q413" s="75"/>
      <c r="R413" s="75"/>
      <c r="S413" s="75"/>
      <c r="T413" s="75"/>
      <c r="U413" s="75"/>
      <c r="V413" s="77"/>
      <c r="W413" s="75"/>
      <c r="X413" s="75"/>
      <c r="Y413" s="75"/>
      <c r="Z413" s="78"/>
      <c r="AA413" s="78"/>
      <c r="AB413" s="75"/>
      <c r="AJ413" s="72"/>
    </row>
    <row r="414" spans="1:36" s="69" customFormat="1" x14ac:dyDescent="0.25">
      <c r="A414" s="75"/>
      <c r="B414" s="75"/>
      <c r="C414" s="76"/>
      <c r="D414" s="76"/>
      <c r="E414" s="75"/>
      <c r="F414" s="75"/>
      <c r="G414" s="75"/>
      <c r="H414" s="75"/>
      <c r="I414" s="75"/>
      <c r="J414" s="75"/>
      <c r="K414" s="75"/>
      <c r="L414" s="75"/>
      <c r="M414" s="75"/>
      <c r="N414" s="75"/>
      <c r="O414" s="75"/>
      <c r="P414" s="75"/>
      <c r="Q414" s="75"/>
      <c r="R414" s="75"/>
      <c r="S414" s="75"/>
      <c r="T414" s="75"/>
      <c r="U414" s="75"/>
      <c r="V414" s="77"/>
      <c r="W414" s="75"/>
      <c r="X414" s="75"/>
      <c r="Y414" s="75"/>
      <c r="Z414" s="78"/>
      <c r="AA414" s="78"/>
      <c r="AB414" s="75"/>
      <c r="AJ414" s="72"/>
    </row>
    <row r="415" spans="1:36" s="69" customFormat="1" x14ac:dyDescent="0.25">
      <c r="A415" s="75"/>
      <c r="B415" s="75"/>
      <c r="C415" s="76"/>
      <c r="D415" s="76"/>
      <c r="E415" s="75"/>
      <c r="F415" s="75"/>
      <c r="G415" s="75"/>
      <c r="H415" s="75"/>
      <c r="I415" s="75"/>
      <c r="J415" s="75"/>
      <c r="K415" s="75"/>
      <c r="L415" s="75"/>
      <c r="M415" s="75"/>
      <c r="N415" s="75"/>
      <c r="O415" s="75"/>
      <c r="P415" s="75"/>
      <c r="Q415" s="75"/>
      <c r="R415" s="75"/>
      <c r="S415" s="75"/>
      <c r="T415" s="75"/>
      <c r="U415" s="75"/>
      <c r="V415" s="77"/>
      <c r="W415" s="75"/>
      <c r="X415" s="75"/>
      <c r="Y415" s="75"/>
      <c r="Z415" s="78"/>
      <c r="AA415" s="78"/>
      <c r="AB415" s="75"/>
      <c r="AJ415" s="72"/>
    </row>
    <row r="416" spans="1:36" s="69" customFormat="1" x14ac:dyDescent="0.25">
      <c r="A416" s="75"/>
      <c r="B416" s="75"/>
      <c r="C416" s="76"/>
      <c r="D416" s="76"/>
      <c r="E416" s="75"/>
      <c r="F416" s="75"/>
      <c r="G416" s="75"/>
      <c r="H416" s="75"/>
      <c r="I416" s="75"/>
      <c r="J416" s="75"/>
      <c r="K416" s="75"/>
      <c r="L416" s="75"/>
      <c r="M416" s="75"/>
      <c r="N416" s="75"/>
      <c r="O416" s="75"/>
      <c r="P416" s="75"/>
      <c r="Q416" s="75"/>
      <c r="R416" s="75"/>
      <c r="S416" s="75"/>
      <c r="T416" s="75"/>
      <c r="U416" s="75"/>
      <c r="V416" s="77"/>
      <c r="W416" s="75"/>
      <c r="X416" s="75"/>
      <c r="Y416" s="75"/>
      <c r="Z416" s="78"/>
      <c r="AA416" s="78"/>
      <c r="AB416" s="75"/>
      <c r="AJ416" s="72"/>
    </row>
    <row r="417" spans="1:36" s="69" customFormat="1" x14ac:dyDescent="0.25">
      <c r="A417" s="75"/>
      <c r="B417" s="75"/>
      <c r="C417" s="76"/>
      <c r="D417" s="76"/>
      <c r="E417" s="75"/>
      <c r="F417" s="75"/>
      <c r="G417" s="75"/>
      <c r="H417" s="75"/>
      <c r="I417" s="75"/>
      <c r="J417" s="75"/>
      <c r="K417" s="75"/>
      <c r="L417" s="75"/>
      <c r="M417" s="75"/>
      <c r="N417" s="75"/>
      <c r="O417" s="75"/>
      <c r="P417" s="75"/>
      <c r="Q417" s="75"/>
      <c r="R417" s="75"/>
      <c r="S417" s="75"/>
      <c r="T417" s="75"/>
      <c r="U417" s="75"/>
      <c r="V417" s="77"/>
      <c r="W417" s="75"/>
      <c r="X417" s="75"/>
      <c r="Y417" s="75"/>
      <c r="Z417" s="78"/>
      <c r="AA417" s="78"/>
      <c r="AB417" s="75"/>
      <c r="AJ417" s="72"/>
    </row>
    <row r="418" spans="1:36" s="69" customFormat="1" x14ac:dyDescent="0.25">
      <c r="A418" s="75"/>
      <c r="B418" s="75"/>
      <c r="C418" s="76"/>
      <c r="D418" s="76"/>
      <c r="E418" s="75"/>
      <c r="F418" s="75"/>
      <c r="G418" s="75"/>
      <c r="H418" s="75"/>
      <c r="I418" s="75"/>
      <c r="J418" s="75"/>
      <c r="K418" s="75"/>
      <c r="L418" s="75"/>
      <c r="M418" s="75"/>
      <c r="N418" s="75"/>
      <c r="O418" s="75"/>
      <c r="P418" s="75"/>
      <c r="Q418" s="75"/>
      <c r="R418" s="75"/>
      <c r="S418" s="75"/>
      <c r="T418" s="75"/>
      <c r="U418" s="75"/>
      <c r="V418" s="77"/>
      <c r="W418" s="75"/>
      <c r="X418" s="75"/>
      <c r="Y418" s="75"/>
      <c r="Z418" s="78"/>
      <c r="AA418" s="78"/>
      <c r="AB418" s="75"/>
      <c r="AJ418" s="72"/>
    </row>
    <row r="419" spans="1:36" s="69" customFormat="1" x14ac:dyDescent="0.25">
      <c r="A419" s="75"/>
      <c r="B419" s="75"/>
      <c r="C419" s="76"/>
      <c r="D419" s="76"/>
      <c r="E419" s="75"/>
      <c r="F419" s="75"/>
      <c r="G419" s="75"/>
      <c r="H419" s="75"/>
      <c r="I419" s="75"/>
      <c r="J419" s="75"/>
      <c r="K419" s="75"/>
      <c r="L419" s="75"/>
      <c r="M419" s="75"/>
      <c r="N419" s="75"/>
      <c r="O419" s="75"/>
      <c r="P419" s="75"/>
      <c r="Q419" s="75"/>
      <c r="R419" s="75"/>
      <c r="S419" s="75"/>
      <c r="T419" s="75"/>
      <c r="U419" s="75"/>
      <c r="V419" s="77"/>
      <c r="W419" s="75"/>
      <c r="X419" s="75"/>
      <c r="Y419" s="75"/>
      <c r="Z419" s="78"/>
      <c r="AA419" s="78"/>
      <c r="AB419" s="75"/>
      <c r="AJ419" s="72"/>
    </row>
    <row r="420" spans="1:36" s="69" customFormat="1" x14ac:dyDescent="0.25">
      <c r="A420" s="75"/>
      <c r="B420" s="75"/>
      <c r="C420" s="76"/>
      <c r="D420" s="76"/>
      <c r="E420" s="75"/>
      <c r="F420" s="75"/>
      <c r="G420" s="75"/>
      <c r="H420" s="75"/>
      <c r="I420" s="75"/>
      <c r="J420" s="75"/>
      <c r="K420" s="75"/>
      <c r="L420" s="75"/>
      <c r="M420" s="75"/>
      <c r="N420" s="75"/>
      <c r="O420" s="75"/>
      <c r="P420" s="75"/>
      <c r="Q420" s="75"/>
      <c r="R420" s="75"/>
      <c r="S420" s="75"/>
      <c r="T420" s="75"/>
      <c r="U420" s="75"/>
      <c r="V420" s="77"/>
      <c r="W420" s="75"/>
      <c r="X420" s="75"/>
      <c r="Y420" s="75"/>
      <c r="Z420" s="78"/>
      <c r="AA420" s="78"/>
      <c r="AB420" s="75"/>
      <c r="AJ420" s="72"/>
    </row>
    <row r="421" spans="1:36" s="69" customFormat="1" x14ac:dyDescent="0.25">
      <c r="A421" s="75"/>
      <c r="B421" s="75"/>
      <c r="C421" s="76"/>
      <c r="D421" s="76"/>
      <c r="E421" s="75"/>
      <c r="F421" s="75"/>
      <c r="G421" s="75"/>
      <c r="H421" s="75"/>
      <c r="I421" s="75"/>
      <c r="J421" s="75"/>
      <c r="K421" s="75"/>
      <c r="L421" s="75"/>
      <c r="M421" s="75"/>
      <c r="N421" s="75"/>
      <c r="O421" s="75"/>
      <c r="P421" s="75"/>
      <c r="Q421" s="75"/>
      <c r="R421" s="75"/>
      <c r="S421" s="75"/>
      <c r="T421" s="75"/>
      <c r="U421" s="75"/>
      <c r="V421" s="77"/>
      <c r="W421" s="75"/>
      <c r="X421" s="75"/>
      <c r="Y421" s="75"/>
      <c r="Z421" s="78"/>
      <c r="AA421" s="78"/>
      <c r="AB421" s="75"/>
      <c r="AJ421" s="72"/>
    </row>
    <row r="422" spans="1:36" s="69" customFormat="1" x14ac:dyDescent="0.25">
      <c r="A422" s="75"/>
      <c r="B422" s="75"/>
      <c r="C422" s="76"/>
      <c r="D422" s="76"/>
      <c r="E422" s="75"/>
      <c r="F422" s="75"/>
      <c r="G422" s="75"/>
      <c r="H422" s="75"/>
      <c r="I422" s="75"/>
      <c r="J422" s="75"/>
      <c r="K422" s="75"/>
      <c r="L422" s="75"/>
      <c r="M422" s="75"/>
      <c r="N422" s="75"/>
      <c r="O422" s="75"/>
      <c r="P422" s="75"/>
      <c r="Q422" s="75"/>
      <c r="R422" s="75"/>
      <c r="S422" s="75"/>
      <c r="T422" s="75"/>
      <c r="U422" s="75"/>
      <c r="V422" s="77"/>
      <c r="W422" s="75"/>
      <c r="X422" s="75"/>
      <c r="Y422" s="75"/>
      <c r="Z422" s="78"/>
      <c r="AA422" s="78"/>
      <c r="AB422" s="75"/>
      <c r="AJ422" s="72"/>
    </row>
    <row r="423" spans="1:36" s="69" customFormat="1" x14ac:dyDescent="0.25">
      <c r="A423" s="75"/>
      <c r="B423" s="75"/>
      <c r="C423" s="76"/>
      <c r="D423" s="76"/>
      <c r="E423" s="75"/>
      <c r="F423" s="75"/>
      <c r="G423" s="75"/>
      <c r="H423" s="75"/>
      <c r="I423" s="75"/>
      <c r="J423" s="75"/>
      <c r="K423" s="75"/>
      <c r="L423" s="75"/>
      <c r="M423" s="75"/>
      <c r="N423" s="75"/>
      <c r="O423" s="75"/>
      <c r="P423" s="75"/>
      <c r="Q423" s="75"/>
      <c r="R423" s="75"/>
      <c r="S423" s="75"/>
      <c r="T423" s="75"/>
      <c r="U423" s="75"/>
      <c r="V423" s="77"/>
      <c r="W423" s="75"/>
      <c r="X423" s="75"/>
      <c r="Y423" s="75"/>
      <c r="Z423" s="78"/>
      <c r="AA423" s="78"/>
      <c r="AB423" s="75"/>
      <c r="AJ423" s="72"/>
    </row>
    <row r="424" spans="1:36" s="69" customFormat="1" x14ac:dyDescent="0.25">
      <c r="A424" s="75"/>
      <c r="B424" s="75"/>
      <c r="C424" s="76"/>
      <c r="D424" s="76"/>
      <c r="E424" s="75"/>
      <c r="F424" s="75"/>
      <c r="G424" s="75"/>
      <c r="H424" s="75"/>
      <c r="I424" s="75"/>
      <c r="J424" s="75"/>
      <c r="K424" s="75"/>
      <c r="L424" s="75"/>
      <c r="M424" s="75"/>
      <c r="N424" s="75"/>
      <c r="O424" s="75"/>
      <c r="P424" s="75"/>
      <c r="Q424" s="75"/>
      <c r="R424" s="75"/>
      <c r="S424" s="75"/>
      <c r="T424" s="75"/>
      <c r="U424" s="75"/>
      <c r="V424" s="77"/>
      <c r="W424" s="75"/>
      <c r="X424" s="75"/>
      <c r="Y424" s="75"/>
      <c r="Z424" s="78"/>
      <c r="AA424" s="78"/>
      <c r="AB424" s="75"/>
      <c r="AJ424" s="72"/>
    </row>
    <row r="425" spans="1:36" s="69" customFormat="1" x14ac:dyDescent="0.25">
      <c r="A425" s="75"/>
      <c r="B425" s="75"/>
      <c r="C425" s="76"/>
      <c r="D425" s="76"/>
      <c r="E425" s="75"/>
      <c r="F425" s="75"/>
      <c r="G425" s="75"/>
      <c r="H425" s="75"/>
      <c r="I425" s="75"/>
      <c r="J425" s="75"/>
      <c r="K425" s="75"/>
      <c r="L425" s="75"/>
      <c r="M425" s="75"/>
      <c r="N425" s="75"/>
      <c r="O425" s="75"/>
      <c r="P425" s="75"/>
      <c r="Q425" s="75"/>
      <c r="R425" s="75"/>
      <c r="S425" s="75"/>
      <c r="T425" s="75"/>
      <c r="U425" s="75"/>
      <c r="V425" s="77"/>
      <c r="W425" s="75"/>
      <c r="X425" s="75"/>
      <c r="Y425" s="75"/>
      <c r="Z425" s="78"/>
      <c r="AA425" s="78"/>
      <c r="AB425" s="75"/>
      <c r="AJ425" s="72"/>
    </row>
    <row r="426" spans="1:36" s="69" customFormat="1" x14ac:dyDescent="0.25">
      <c r="A426" s="75"/>
      <c r="B426" s="75"/>
      <c r="C426" s="76"/>
      <c r="D426" s="76"/>
      <c r="E426" s="75"/>
      <c r="F426" s="75"/>
      <c r="G426" s="75"/>
      <c r="H426" s="75"/>
      <c r="I426" s="75"/>
      <c r="J426" s="75"/>
      <c r="K426" s="75"/>
      <c r="L426" s="75"/>
      <c r="M426" s="75"/>
      <c r="N426" s="75"/>
      <c r="O426" s="75"/>
      <c r="P426" s="75"/>
      <c r="Q426" s="75"/>
      <c r="R426" s="75"/>
      <c r="S426" s="75"/>
      <c r="T426" s="75"/>
      <c r="U426" s="75"/>
      <c r="V426" s="77"/>
      <c r="W426" s="75"/>
      <c r="X426" s="75"/>
      <c r="Y426" s="75"/>
      <c r="Z426" s="78"/>
      <c r="AA426" s="78"/>
      <c r="AB426" s="75"/>
      <c r="AJ426" s="72"/>
    </row>
    <row r="427" spans="1:36" s="69" customFormat="1" x14ac:dyDescent="0.25">
      <c r="A427" s="75"/>
      <c r="B427" s="75"/>
      <c r="C427" s="76"/>
      <c r="D427" s="76"/>
      <c r="E427" s="75"/>
      <c r="F427" s="75"/>
      <c r="G427" s="75"/>
      <c r="H427" s="75"/>
      <c r="I427" s="75"/>
      <c r="J427" s="75"/>
      <c r="K427" s="75"/>
      <c r="L427" s="75"/>
      <c r="M427" s="75"/>
      <c r="N427" s="75"/>
      <c r="O427" s="75"/>
      <c r="P427" s="75"/>
      <c r="Q427" s="75"/>
      <c r="R427" s="75"/>
      <c r="S427" s="75"/>
      <c r="T427" s="75"/>
      <c r="U427" s="75"/>
      <c r="V427" s="77"/>
      <c r="W427" s="75"/>
      <c r="X427" s="75"/>
      <c r="Y427" s="75"/>
      <c r="Z427" s="78"/>
      <c r="AA427" s="78"/>
      <c r="AB427" s="75"/>
      <c r="AJ427" s="72"/>
    </row>
    <row r="428" spans="1:36" s="69" customFormat="1" x14ac:dyDescent="0.25">
      <c r="A428" s="75"/>
      <c r="B428" s="75"/>
      <c r="C428" s="76"/>
      <c r="D428" s="76"/>
      <c r="E428" s="75"/>
      <c r="F428" s="75"/>
      <c r="G428" s="75"/>
      <c r="H428" s="75"/>
      <c r="I428" s="75"/>
      <c r="J428" s="75"/>
      <c r="K428" s="75"/>
      <c r="L428" s="75"/>
      <c r="M428" s="75"/>
      <c r="N428" s="75"/>
      <c r="O428" s="75"/>
      <c r="P428" s="75"/>
      <c r="Q428" s="75"/>
      <c r="R428" s="75"/>
      <c r="S428" s="75"/>
      <c r="T428" s="75"/>
      <c r="U428" s="75"/>
      <c r="V428" s="77"/>
      <c r="W428" s="75"/>
      <c r="X428" s="75"/>
      <c r="Y428" s="75"/>
      <c r="Z428" s="78"/>
      <c r="AA428" s="78"/>
      <c r="AB428" s="75"/>
      <c r="AJ428" s="72"/>
    </row>
    <row r="429" spans="1:36" s="69" customFormat="1" x14ac:dyDescent="0.25">
      <c r="A429" s="75"/>
      <c r="B429" s="75"/>
      <c r="C429" s="76"/>
      <c r="D429" s="76"/>
      <c r="E429" s="75"/>
      <c r="F429" s="75"/>
      <c r="G429" s="75"/>
      <c r="H429" s="75"/>
      <c r="I429" s="75"/>
      <c r="J429" s="75"/>
      <c r="K429" s="75"/>
      <c r="L429" s="75"/>
      <c r="M429" s="75"/>
      <c r="N429" s="75"/>
      <c r="O429" s="75"/>
      <c r="P429" s="75"/>
      <c r="Q429" s="75"/>
      <c r="R429" s="75"/>
      <c r="S429" s="75"/>
      <c r="T429" s="75"/>
      <c r="U429" s="75"/>
      <c r="V429" s="77"/>
      <c r="W429" s="75"/>
      <c r="X429" s="75"/>
      <c r="Y429" s="75"/>
      <c r="Z429" s="78"/>
      <c r="AA429" s="78"/>
      <c r="AB429" s="75"/>
      <c r="AJ429" s="72"/>
    </row>
    <row r="430" spans="1:36" s="69" customFormat="1" x14ac:dyDescent="0.25">
      <c r="A430" s="75"/>
      <c r="B430" s="75"/>
      <c r="C430" s="76"/>
      <c r="D430" s="76"/>
      <c r="E430" s="75"/>
      <c r="F430" s="75"/>
      <c r="G430" s="75"/>
      <c r="H430" s="75"/>
      <c r="I430" s="75"/>
      <c r="J430" s="75"/>
      <c r="K430" s="75"/>
      <c r="L430" s="75"/>
      <c r="M430" s="75"/>
      <c r="N430" s="75"/>
      <c r="O430" s="75"/>
      <c r="P430" s="75"/>
      <c r="Q430" s="75"/>
      <c r="R430" s="75"/>
      <c r="S430" s="75"/>
      <c r="T430" s="75"/>
      <c r="U430" s="75"/>
      <c r="V430" s="77"/>
      <c r="W430" s="75"/>
      <c r="X430" s="75"/>
      <c r="Y430" s="75"/>
      <c r="Z430" s="78"/>
      <c r="AA430" s="78"/>
      <c r="AB430" s="75"/>
      <c r="AJ430" s="72"/>
    </row>
    <row r="431" spans="1:36" s="69" customFormat="1" x14ac:dyDescent="0.25">
      <c r="A431" s="75"/>
      <c r="B431" s="75"/>
      <c r="C431" s="76"/>
      <c r="D431" s="76"/>
      <c r="E431" s="75"/>
      <c r="F431" s="75"/>
      <c r="G431" s="75"/>
      <c r="H431" s="75"/>
      <c r="I431" s="75"/>
      <c r="J431" s="75"/>
      <c r="K431" s="75"/>
      <c r="L431" s="75"/>
      <c r="M431" s="75"/>
      <c r="N431" s="75"/>
      <c r="O431" s="75"/>
      <c r="P431" s="75"/>
      <c r="Q431" s="75"/>
      <c r="R431" s="75"/>
      <c r="S431" s="75"/>
      <c r="T431" s="75"/>
      <c r="U431" s="75"/>
      <c r="V431" s="77"/>
      <c r="W431" s="75"/>
      <c r="X431" s="75"/>
      <c r="Y431" s="75"/>
      <c r="Z431" s="78"/>
      <c r="AA431" s="78"/>
      <c r="AB431" s="75"/>
      <c r="AJ431" s="72"/>
    </row>
    <row r="432" spans="1:36" s="69" customFormat="1" x14ac:dyDescent="0.25">
      <c r="A432" s="75"/>
      <c r="B432" s="75"/>
      <c r="C432" s="76"/>
      <c r="D432" s="76"/>
      <c r="E432" s="75"/>
      <c r="F432" s="75"/>
      <c r="G432" s="75"/>
      <c r="H432" s="75"/>
      <c r="I432" s="75"/>
      <c r="J432" s="75"/>
      <c r="K432" s="75"/>
      <c r="L432" s="75"/>
      <c r="M432" s="75"/>
      <c r="N432" s="75"/>
      <c r="O432" s="75"/>
      <c r="P432" s="75"/>
      <c r="Q432" s="75"/>
      <c r="R432" s="75"/>
      <c r="S432" s="75"/>
      <c r="T432" s="75"/>
      <c r="U432" s="75"/>
      <c r="V432" s="77"/>
      <c r="W432" s="75"/>
      <c r="X432" s="75"/>
      <c r="Y432" s="75"/>
      <c r="Z432" s="78"/>
      <c r="AA432" s="78"/>
      <c r="AB432" s="75"/>
      <c r="AJ432" s="72"/>
    </row>
    <row r="433" spans="1:36" s="69" customFormat="1" x14ac:dyDescent="0.25">
      <c r="A433" s="75"/>
      <c r="B433" s="75"/>
      <c r="C433" s="76"/>
      <c r="D433" s="76"/>
      <c r="E433" s="75"/>
      <c r="F433" s="75"/>
      <c r="G433" s="75"/>
      <c r="H433" s="75"/>
      <c r="I433" s="75"/>
      <c r="J433" s="75"/>
      <c r="K433" s="75"/>
      <c r="L433" s="75"/>
      <c r="M433" s="75"/>
      <c r="N433" s="75"/>
      <c r="O433" s="75"/>
      <c r="P433" s="75"/>
      <c r="Q433" s="75"/>
      <c r="R433" s="75"/>
      <c r="S433" s="75"/>
      <c r="T433" s="75"/>
      <c r="U433" s="75"/>
      <c r="V433" s="77"/>
      <c r="W433" s="75"/>
      <c r="X433" s="75"/>
      <c r="Y433" s="75"/>
      <c r="Z433" s="78"/>
      <c r="AA433" s="78"/>
      <c r="AB433" s="75"/>
      <c r="AJ433" s="72"/>
    </row>
    <row r="434" spans="1:36" s="69" customFormat="1" x14ac:dyDescent="0.25">
      <c r="A434" s="75"/>
      <c r="B434" s="75"/>
      <c r="C434" s="76"/>
      <c r="D434" s="76"/>
      <c r="E434" s="75"/>
      <c r="F434" s="75"/>
      <c r="G434" s="75"/>
      <c r="H434" s="75"/>
      <c r="I434" s="75"/>
      <c r="J434" s="75"/>
      <c r="K434" s="75"/>
      <c r="L434" s="75"/>
      <c r="M434" s="75"/>
      <c r="N434" s="75"/>
      <c r="O434" s="75"/>
      <c r="P434" s="75"/>
      <c r="Q434" s="75"/>
      <c r="R434" s="75"/>
      <c r="S434" s="75"/>
      <c r="T434" s="75"/>
      <c r="U434" s="75"/>
      <c r="V434" s="77"/>
      <c r="W434" s="75"/>
      <c r="X434" s="75"/>
      <c r="Y434" s="75"/>
      <c r="Z434" s="78"/>
      <c r="AA434" s="78"/>
      <c r="AB434" s="75"/>
      <c r="AJ434" s="72"/>
    </row>
    <row r="435" spans="1:36" s="69" customFormat="1" x14ac:dyDescent="0.25">
      <c r="A435" s="75"/>
      <c r="B435" s="75"/>
      <c r="C435" s="76"/>
      <c r="D435" s="76"/>
      <c r="E435" s="75"/>
      <c r="F435" s="75"/>
      <c r="G435" s="75"/>
      <c r="H435" s="75"/>
      <c r="I435" s="75"/>
      <c r="J435" s="75"/>
      <c r="K435" s="75"/>
      <c r="L435" s="75"/>
      <c r="M435" s="75"/>
      <c r="N435" s="75"/>
      <c r="O435" s="75"/>
      <c r="P435" s="75"/>
      <c r="Q435" s="75"/>
      <c r="R435" s="75"/>
      <c r="S435" s="75"/>
      <c r="T435" s="75"/>
      <c r="U435" s="75"/>
      <c r="V435" s="77"/>
      <c r="W435" s="75"/>
      <c r="X435" s="75"/>
      <c r="Y435" s="75"/>
      <c r="Z435" s="78"/>
      <c r="AA435" s="78"/>
      <c r="AB435" s="75"/>
      <c r="AJ435" s="72"/>
    </row>
    <row r="436" spans="1:36" s="69" customFormat="1" x14ac:dyDescent="0.25">
      <c r="A436" s="75"/>
      <c r="B436" s="75"/>
      <c r="C436" s="76"/>
      <c r="D436" s="76"/>
      <c r="E436" s="75"/>
      <c r="F436" s="75"/>
      <c r="G436" s="75"/>
      <c r="H436" s="75"/>
      <c r="I436" s="75"/>
      <c r="J436" s="75"/>
      <c r="K436" s="75"/>
      <c r="L436" s="75"/>
      <c r="M436" s="75"/>
      <c r="N436" s="75"/>
      <c r="O436" s="75"/>
      <c r="P436" s="75"/>
      <c r="Q436" s="75"/>
      <c r="R436" s="75"/>
      <c r="S436" s="75"/>
      <c r="T436" s="75"/>
      <c r="U436" s="75"/>
      <c r="V436" s="77"/>
      <c r="W436" s="75"/>
      <c r="X436" s="75"/>
      <c r="Y436" s="75"/>
      <c r="Z436" s="78"/>
      <c r="AA436" s="78"/>
      <c r="AB436" s="75"/>
      <c r="AJ436" s="72"/>
    </row>
    <row r="437" spans="1:36" s="69" customFormat="1" x14ac:dyDescent="0.25">
      <c r="A437" s="75"/>
      <c r="B437" s="75"/>
      <c r="C437" s="76"/>
      <c r="D437" s="76"/>
      <c r="E437" s="75"/>
      <c r="F437" s="75"/>
      <c r="G437" s="75"/>
      <c r="H437" s="75"/>
      <c r="I437" s="75"/>
      <c r="J437" s="75"/>
      <c r="K437" s="75"/>
      <c r="L437" s="75"/>
      <c r="M437" s="75"/>
      <c r="N437" s="75"/>
      <c r="O437" s="75"/>
      <c r="P437" s="75"/>
      <c r="Q437" s="75"/>
      <c r="R437" s="75"/>
      <c r="S437" s="75"/>
      <c r="T437" s="75"/>
      <c r="U437" s="75"/>
      <c r="V437" s="77"/>
      <c r="W437" s="75"/>
      <c r="X437" s="75"/>
      <c r="Y437" s="75"/>
      <c r="Z437" s="78"/>
      <c r="AA437" s="78"/>
      <c r="AB437" s="75"/>
      <c r="AJ437" s="72"/>
    </row>
    <row r="438" spans="1:36" s="69" customFormat="1" x14ac:dyDescent="0.25">
      <c r="A438" s="75"/>
      <c r="B438" s="75"/>
      <c r="C438" s="76"/>
      <c r="D438" s="76"/>
      <c r="E438" s="75"/>
      <c r="F438" s="75"/>
      <c r="G438" s="75"/>
      <c r="H438" s="75"/>
      <c r="I438" s="75"/>
      <c r="J438" s="75"/>
      <c r="K438" s="75"/>
      <c r="L438" s="75"/>
      <c r="M438" s="75"/>
      <c r="N438" s="75"/>
      <c r="O438" s="75"/>
      <c r="P438" s="75"/>
      <c r="Q438" s="75"/>
      <c r="R438" s="75"/>
      <c r="S438" s="75"/>
      <c r="T438" s="75"/>
      <c r="U438" s="75"/>
      <c r="V438" s="77"/>
      <c r="W438" s="75"/>
      <c r="X438" s="75"/>
      <c r="Y438" s="75"/>
      <c r="Z438" s="78"/>
      <c r="AA438" s="78"/>
      <c r="AB438" s="75"/>
      <c r="AJ438" s="72"/>
    </row>
    <row r="439" spans="1:36" s="69" customFormat="1" x14ac:dyDescent="0.25">
      <c r="A439" s="75"/>
      <c r="B439" s="75"/>
      <c r="C439" s="76"/>
      <c r="D439" s="76"/>
      <c r="E439" s="75"/>
      <c r="F439" s="75"/>
      <c r="G439" s="75"/>
      <c r="H439" s="75"/>
      <c r="I439" s="75"/>
      <c r="J439" s="75"/>
      <c r="K439" s="75"/>
      <c r="L439" s="75"/>
      <c r="M439" s="75"/>
      <c r="N439" s="75"/>
      <c r="O439" s="75"/>
      <c r="P439" s="75"/>
      <c r="Q439" s="75"/>
      <c r="R439" s="75"/>
      <c r="S439" s="75"/>
      <c r="T439" s="75"/>
      <c r="U439" s="75"/>
      <c r="V439" s="77"/>
      <c r="W439" s="75"/>
      <c r="X439" s="75"/>
      <c r="Y439" s="75"/>
      <c r="Z439" s="78"/>
      <c r="AA439" s="78"/>
      <c r="AB439" s="75"/>
      <c r="AJ439" s="72"/>
    </row>
    <row r="440" spans="1:36" s="69" customFormat="1" x14ac:dyDescent="0.25">
      <c r="A440" s="75"/>
      <c r="B440" s="75"/>
      <c r="C440" s="76"/>
      <c r="D440" s="76"/>
      <c r="E440" s="75"/>
      <c r="F440" s="75"/>
      <c r="G440" s="75"/>
      <c r="H440" s="75"/>
      <c r="I440" s="75"/>
      <c r="J440" s="75"/>
      <c r="K440" s="75"/>
      <c r="L440" s="75"/>
      <c r="M440" s="75"/>
      <c r="N440" s="75"/>
      <c r="O440" s="75"/>
      <c r="P440" s="75"/>
      <c r="Q440" s="75"/>
      <c r="R440" s="75"/>
      <c r="S440" s="75"/>
      <c r="T440" s="75"/>
      <c r="U440" s="75"/>
      <c r="V440" s="77"/>
      <c r="W440" s="75"/>
      <c r="X440" s="75"/>
      <c r="Y440" s="75"/>
      <c r="Z440" s="78"/>
      <c r="AA440" s="78"/>
      <c r="AB440" s="75"/>
      <c r="AJ440" s="72"/>
    </row>
    <row r="441" spans="1:36" s="69" customFormat="1" x14ac:dyDescent="0.25">
      <c r="A441" s="75"/>
      <c r="B441" s="75"/>
      <c r="C441" s="76"/>
      <c r="D441" s="76"/>
      <c r="E441" s="75"/>
      <c r="F441" s="75"/>
      <c r="G441" s="75"/>
      <c r="H441" s="75"/>
      <c r="I441" s="75"/>
      <c r="J441" s="75"/>
      <c r="K441" s="75"/>
      <c r="L441" s="75"/>
      <c r="M441" s="75"/>
      <c r="N441" s="75"/>
      <c r="O441" s="75"/>
      <c r="P441" s="75"/>
      <c r="Q441" s="75"/>
      <c r="R441" s="75"/>
      <c r="S441" s="75"/>
      <c r="T441" s="75"/>
      <c r="U441" s="75"/>
      <c r="V441" s="77"/>
      <c r="W441" s="75"/>
      <c r="X441" s="75"/>
      <c r="Y441" s="75"/>
      <c r="Z441" s="78"/>
      <c r="AA441" s="78"/>
      <c r="AB441" s="75"/>
      <c r="AJ441" s="72"/>
    </row>
    <row r="442" spans="1:36" s="69" customFormat="1" x14ac:dyDescent="0.25">
      <c r="A442" s="75"/>
      <c r="B442" s="75"/>
      <c r="C442" s="76"/>
      <c r="D442" s="76"/>
      <c r="E442" s="75"/>
      <c r="F442" s="75"/>
      <c r="G442" s="75"/>
      <c r="H442" s="75"/>
      <c r="I442" s="75"/>
      <c r="J442" s="75"/>
      <c r="K442" s="75"/>
      <c r="L442" s="75"/>
      <c r="M442" s="75"/>
      <c r="N442" s="75"/>
      <c r="O442" s="75"/>
      <c r="P442" s="75"/>
      <c r="Q442" s="75"/>
      <c r="R442" s="75"/>
      <c r="S442" s="75"/>
      <c r="T442" s="75"/>
      <c r="U442" s="75"/>
      <c r="V442" s="77"/>
      <c r="W442" s="75"/>
      <c r="X442" s="75"/>
      <c r="Y442" s="75"/>
      <c r="Z442" s="78"/>
      <c r="AA442" s="78"/>
      <c r="AB442" s="75"/>
      <c r="AJ442" s="72"/>
    </row>
    <row r="443" spans="1:36" s="69" customFormat="1" x14ac:dyDescent="0.25">
      <c r="A443" s="75"/>
      <c r="B443" s="75"/>
      <c r="C443" s="76"/>
      <c r="D443" s="76"/>
      <c r="E443" s="75"/>
      <c r="F443" s="75"/>
      <c r="G443" s="75"/>
      <c r="H443" s="75"/>
      <c r="I443" s="75"/>
      <c r="J443" s="75"/>
      <c r="K443" s="75"/>
      <c r="L443" s="75"/>
      <c r="M443" s="75"/>
      <c r="N443" s="75"/>
      <c r="O443" s="75"/>
      <c r="P443" s="75"/>
      <c r="Q443" s="75"/>
      <c r="R443" s="75"/>
      <c r="S443" s="75"/>
      <c r="T443" s="75"/>
      <c r="U443" s="75"/>
      <c r="V443" s="77"/>
      <c r="W443" s="75"/>
      <c r="X443" s="75"/>
      <c r="Y443" s="75"/>
      <c r="Z443" s="78"/>
      <c r="AA443" s="78"/>
      <c r="AB443" s="75"/>
      <c r="AJ443" s="72"/>
    </row>
    <row r="444" spans="1:36" s="69" customFormat="1" x14ac:dyDescent="0.25">
      <c r="A444" s="75"/>
      <c r="B444" s="75"/>
      <c r="C444" s="76"/>
      <c r="D444" s="76"/>
      <c r="E444" s="75"/>
      <c r="F444" s="75"/>
      <c r="G444" s="75"/>
      <c r="H444" s="75"/>
      <c r="I444" s="75"/>
      <c r="J444" s="75"/>
      <c r="K444" s="75"/>
      <c r="L444" s="75"/>
      <c r="M444" s="75"/>
      <c r="N444" s="75"/>
      <c r="O444" s="75"/>
      <c r="P444" s="75"/>
      <c r="Q444" s="75"/>
      <c r="R444" s="75"/>
      <c r="S444" s="75"/>
      <c r="T444" s="75"/>
      <c r="U444" s="75"/>
      <c r="V444" s="77"/>
      <c r="W444" s="75"/>
      <c r="X444" s="75"/>
      <c r="Y444" s="75"/>
      <c r="Z444" s="78"/>
      <c r="AA444" s="78"/>
      <c r="AB444" s="75"/>
      <c r="AJ444" s="72"/>
    </row>
    <row r="445" spans="1:36" s="69" customFormat="1" x14ac:dyDescent="0.25">
      <c r="A445" s="75"/>
      <c r="B445" s="75"/>
      <c r="C445" s="76"/>
      <c r="D445" s="76"/>
      <c r="E445" s="75"/>
      <c r="F445" s="75"/>
      <c r="G445" s="75"/>
      <c r="H445" s="75"/>
      <c r="I445" s="75"/>
      <c r="J445" s="75"/>
      <c r="K445" s="75"/>
      <c r="L445" s="75"/>
      <c r="M445" s="75"/>
      <c r="N445" s="75"/>
      <c r="O445" s="75"/>
      <c r="P445" s="75"/>
      <c r="Q445" s="75"/>
      <c r="R445" s="75"/>
      <c r="S445" s="75"/>
      <c r="T445" s="75"/>
      <c r="U445" s="75"/>
      <c r="V445" s="77"/>
      <c r="W445" s="75"/>
      <c r="X445" s="75"/>
      <c r="Y445" s="75"/>
      <c r="Z445" s="78"/>
      <c r="AA445" s="78"/>
      <c r="AB445" s="75"/>
      <c r="AJ445" s="72"/>
    </row>
    <row r="446" spans="1:36" s="69" customFormat="1" x14ac:dyDescent="0.25">
      <c r="A446" s="75"/>
      <c r="B446" s="75"/>
      <c r="C446" s="76"/>
      <c r="D446" s="76"/>
      <c r="E446" s="75"/>
      <c r="F446" s="75"/>
      <c r="G446" s="75"/>
      <c r="H446" s="75"/>
      <c r="I446" s="75"/>
      <c r="J446" s="75"/>
      <c r="K446" s="75"/>
      <c r="L446" s="75"/>
      <c r="M446" s="75"/>
      <c r="N446" s="75"/>
      <c r="O446" s="75"/>
      <c r="P446" s="75"/>
      <c r="Q446" s="75"/>
      <c r="R446" s="75"/>
      <c r="S446" s="75"/>
      <c r="T446" s="75"/>
      <c r="U446" s="75"/>
      <c r="V446" s="77"/>
      <c r="W446" s="75"/>
      <c r="X446" s="75"/>
      <c r="Y446" s="75"/>
      <c r="Z446" s="78"/>
      <c r="AA446" s="78"/>
      <c r="AB446" s="75"/>
      <c r="AJ446" s="72"/>
    </row>
    <row r="447" spans="1:36" s="69" customFormat="1" x14ac:dyDescent="0.25">
      <c r="A447" s="75"/>
      <c r="B447" s="75"/>
      <c r="C447" s="76"/>
      <c r="D447" s="76"/>
      <c r="E447" s="75"/>
      <c r="F447" s="75"/>
      <c r="G447" s="75"/>
      <c r="H447" s="75"/>
      <c r="I447" s="75"/>
      <c r="J447" s="75"/>
      <c r="K447" s="75"/>
      <c r="L447" s="75"/>
      <c r="M447" s="75"/>
      <c r="N447" s="75"/>
      <c r="O447" s="75"/>
      <c r="P447" s="75"/>
      <c r="Q447" s="75"/>
      <c r="R447" s="75"/>
      <c r="S447" s="75"/>
      <c r="T447" s="75"/>
      <c r="U447" s="75"/>
      <c r="V447" s="77"/>
      <c r="W447" s="75"/>
      <c r="X447" s="75"/>
      <c r="Y447" s="75"/>
      <c r="Z447" s="78"/>
      <c r="AA447" s="78"/>
      <c r="AB447" s="75"/>
      <c r="AJ447" s="72"/>
    </row>
    <row r="448" spans="1:36" s="69" customFormat="1" x14ac:dyDescent="0.25">
      <c r="A448" s="75"/>
      <c r="B448" s="75"/>
      <c r="C448" s="76"/>
      <c r="D448" s="76"/>
      <c r="E448" s="75"/>
      <c r="F448" s="75"/>
      <c r="G448" s="75"/>
      <c r="H448" s="75"/>
      <c r="I448" s="75"/>
      <c r="J448" s="75"/>
      <c r="K448" s="75"/>
      <c r="L448" s="75"/>
      <c r="M448" s="75"/>
      <c r="N448" s="75"/>
      <c r="O448" s="75"/>
      <c r="P448" s="75"/>
      <c r="Q448" s="75"/>
      <c r="R448" s="75"/>
      <c r="S448" s="75"/>
      <c r="T448" s="75"/>
      <c r="U448" s="75"/>
      <c r="V448" s="77"/>
      <c r="W448" s="75"/>
      <c r="X448" s="75"/>
      <c r="Y448" s="75"/>
      <c r="Z448" s="78"/>
      <c r="AA448" s="78"/>
      <c r="AB448" s="75"/>
      <c r="AJ448" s="72"/>
    </row>
    <row r="449" spans="1:36" s="69" customFormat="1" x14ac:dyDescent="0.25">
      <c r="A449" s="75"/>
      <c r="B449" s="75"/>
      <c r="C449" s="76"/>
      <c r="D449" s="76"/>
      <c r="E449" s="75"/>
      <c r="F449" s="75"/>
      <c r="G449" s="75"/>
      <c r="H449" s="75"/>
      <c r="I449" s="75"/>
      <c r="J449" s="75"/>
      <c r="K449" s="75"/>
      <c r="L449" s="75"/>
      <c r="M449" s="75"/>
      <c r="N449" s="75"/>
      <c r="O449" s="75"/>
      <c r="P449" s="75"/>
      <c r="Q449" s="75"/>
      <c r="R449" s="75"/>
      <c r="S449" s="75"/>
      <c r="T449" s="75"/>
      <c r="U449" s="75"/>
      <c r="V449" s="77"/>
      <c r="W449" s="75"/>
      <c r="X449" s="75"/>
      <c r="Y449" s="75"/>
      <c r="Z449" s="78"/>
      <c r="AA449" s="78"/>
      <c r="AB449" s="75"/>
      <c r="AJ449" s="72"/>
    </row>
    <row r="450" spans="1:36" s="69" customFormat="1" x14ac:dyDescent="0.25">
      <c r="A450" s="75"/>
      <c r="B450" s="75"/>
      <c r="C450" s="76"/>
      <c r="D450" s="76"/>
      <c r="E450" s="75"/>
      <c r="F450" s="75"/>
      <c r="G450" s="75"/>
      <c r="H450" s="75"/>
      <c r="I450" s="75"/>
      <c r="J450" s="75"/>
      <c r="K450" s="75"/>
      <c r="L450" s="75"/>
      <c r="M450" s="75"/>
      <c r="N450" s="75"/>
      <c r="O450" s="75"/>
      <c r="P450" s="75"/>
      <c r="Q450" s="75"/>
      <c r="R450" s="75"/>
      <c r="S450" s="75"/>
      <c r="T450" s="75"/>
      <c r="U450" s="75"/>
      <c r="V450" s="77"/>
      <c r="W450" s="75"/>
      <c r="X450" s="75"/>
      <c r="Y450" s="75"/>
      <c r="Z450" s="78"/>
      <c r="AA450" s="78"/>
      <c r="AB450" s="75"/>
      <c r="AJ450" s="72"/>
    </row>
    <row r="451" spans="1:36" s="69" customFormat="1" x14ac:dyDescent="0.25">
      <c r="A451" s="75"/>
      <c r="B451" s="75"/>
      <c r="C451" s="76"/>
      <c r="D451" s="76"/>
      <c r="E451" s="75"/>
      <c r="F451" s="75"/>
      <c r="G451" s="75"/>
      <c r="H451" s="75"/>
      <c r="I451" s="75"/>
      <c r="J451" s="75"/>
      <c r="K451" s="75"/>
      <c r="L451" s="75"/>
      <c r="M451" s="75"/>
      <c r="N451" s="75"/>
      <c r="O451" s="75"/>
      <c r="P451" s="75"/>
      <c r="Q451" s="75"/>
      <c r="R451" s="75"/>
      <c r="S451" s="75"/>
      <c r="T451" s="75"/>
      <c r="U451" s="75"/>
      <c r="V451" s="77"/>
      <c r="W451" s="75"/>
      <c r="X451" s="75"/>
      <c r="Y451" s="75"/>
      <c r="Z451" s="78"/>
      <c r="AA451" s="78"/>
      <c r="AB451" s="75"/>
      <c r="AJ451" s="72"/>
    </row>
    <row r="452" spans="1:36" s="69" customFormat="1" x14ac:dyDescent="0.25">
      <c r="A452" s="75"/>
      <c r="B452" s="75"/>
      <c r="C452" s="76"/>
      <c r="D452" s="76"/>
      <c r="E452" s="75"/>
      <c r="F452" s="75"/>
      <c r="G452" s="75"/>
      <c r="H452" s="75"/>
      <c r="I452" s="75"/>
      <c r="J452" s="75"/>
      <c r="K452" s="75"/>
      <c r="L452" s="75"/>
      <c r="M452" s="75"/>
      <c r="N452" s="75"/>
      <c r="O452" s="75"/>
      <c r="P452" s="75"/>
      <c r="Q452" s="75"/>
      <c r="R452" s="75"/>
      <c r="S452" s="75"/>
      <c r="T452" s="75"/>
      <c r="U452" s="75"/>
      <c r="V452" s="77"/>
      <c r="W452" s="75"/>
      <c r="X452" s="75"/>
      <c r="Y452" s="75"/>
      <c r="Z452" s="78"/>
      <c r="AA452" s="78"/>
      <c r="AB452" s="75"/>
      <c r="AJ452" s="72"/>
    </row>
    <row r="453" spans="1:36" s="69" customFormat="1" x14ac:dyDescent="0.25">
      <c r="A453" s="75"/>
      <c r="B453" s="75"/>
      <c r="C453" s="76"/>
      <c r="D453" s="76"/>
      <c r="E453" s="75"/>
      <c r="F453" s="75"/>
      <c r="G453" s="75"/>
      <c r="H453" s="75"/>
      <c r="I453" s="75"/>
      <c r="J453" s="75"/>
      <c r="K453" s="75"/>
      <c r="L453" s="75"/>
      <c r="M453" s="75"/>
      <c r="N453" s="75"/>
      <c r="O453" s="75"/>
      <c r="P453" s="75"/>
      <c r="Q453" s="75"/>
      <c r="R453" s="75"/>
      <c r="S453" s="75"/>
      <c r="T453" s="75"/>
      <c r="U453" s="75"/>
      <c r="V453" s="77"/>
      <c r="W453" s="75"/>
      <c r="X453" s="75"/>
      <c r="Y453" s="75"/>
      <c r="Z453" s="78"/>
      <c r="AA453" s="78"/>
      <c r="AB453" s="75"/>
      <c r="AJ453" s="72"/>
    </row>
    <row r="454" spans="1:36" s="69" customFormat="1" x14ac:dyDescent="0.25">
      <c r="A454" s="75"/>
      <c r="B454" s="75"/>
      <c r="C454" s="76"/>
      <c r="D454" s="76"/>
      <c r="E454" s="75"/>
      <c r="F454" s="75"/>
      <c r="G454" s="75"/>
      <c r="H454" s="75"/>
      <c r="I454" s="75"/>
      <c r="J454" s="75"/>
      <c r="K454" s="75"/>
      <c r="L454" s="75"/>
      <c r="M454" s="75"/>
      <c r="N454" s="75"/>
      <c r="O454" s="75"/>
      <c r="P454" s="75"/>
      <c r="Q454" s="75"/>
      <c r="R454" s="75"/>
      <c r="S454" s="75"/>
      <c r="T454" s="75"/>
      <c r="U454" s="75"/>
      <c r="V454" s="77"/>
      <c r="W454" s="75"/>
      <c r="X454" s="75"/>
      <c r="Y454" s="75"/>
      <c r="Z454" s="78"/>
      <c r="AA454" s="78"/>
      <c r="AB454" s="75"/>
      <c r="AJ454" s="72"/>
    </row>
    <row r="455" spans="1:36" s="69" customFormat="1" x14ac:dyDescent="0.25">
      <c r="A455" s="75"/>
      <c r="B455" s="75"/>
      <c r="C455" s="76"/>
      <c r="D455" s="76"/>
      <c r="E455" s="75"/>
      <c r="F455" s="75"/>
      <c r="G455" s="75"/>
      <c r="H455" s="75"/>
      <c r="I455" s="75"/>
      <c r="J455" s="75"/>
      <c r="K455" s="75"/>
      <c r="L455" s="75"/>
      <c r="M455" s="75"/>
      <c r="N455" s="75"/>
      <c r="O455" s="75"/>
      <c r="P455" s="75"/>
      <c r="Q455" s="75"/>
      <c r="R455" s="75"/>
      <c r="S455" s="75"/>
      <c r="T455" s="75"/>
      <c r="U455" s="75"/>
      <c r="V455" s="77"/>
      <c r="W455" s="75"/>
      <c r="X455" s="75"/>
      <c r="Y455" s="75"/>
      <c r="Z455" s="78"/>
      <c r="AA455" s="78"/>
      <c r="AB455" s="75"/>
      <c r="AJ455" s="72"/>
    </row>
    <row r="456" spans="1:36" s="69" customFormat="1" x14ac:dyDescent="0.25">
      <c r="A456" s="75"/>
      <c r="B456" s="75"/>
      <c r="C456" s="76"/>
      <c r="D456" s="76"/>
      <c r="E456" s="75"/>
      <c r="F456" s="75"/>
      <c r="G456" s="75"/>
      <c r="H456" s="75"/>
      <c r="I456" s="75"/>
      <c r="J456" s="75"/>
      <c r="K456" s="75"/>
      <c r="L456" s="75"/>
      <c r="M456" s="75"/>
      <c r="N456" s="75"/>
      <c r="O456" s="75"/>
      <c r="P456" s="75"/>
      <c r="Q456" s="75"/>
      <c r="R456" s="75"/>
      <c r="S456" s="75"/>
      <c r="T456" s="75"/>
      <c r="U456" s="75"/>
      <c r="V456" s="77"/>
      <c r="W456" s="75"/>
      <c r="X456" s="75"/>
      <c r="Y456" s="75"/>
      <c r="Z456" s="78"/>
      <c r="AA456" s="78"/>
      <c r="AB456" s="75"/>
      <c r="AJ456" s="72"/>
    </row>
    <row r="457" spans="1:36" s="69" customFormat="1" x14ac:dyDescent="0.25">
      <c r="A457" s="75"/>
      <c r="B457" s="75"/>
      <c r="C457" s="76"/>
      <c r="D457" s="76"/>
      <c r="E457" s="75"/>
      <c r="F457" s="75"/>
      <c r="G457" s="75"/>
      <c r="H457" s="75"/>
      <c r="I457" s="75"/>
      <c r="J457" s="75"/>
      <c r="K457" s="75"/>
      <c r="L457" s="75"/>
      <c r="M457" s="75"/>
      <c r="N457" s="75"/>
      <c r="O457" s="75"/>
      <c r="P457" s="75"/>
      <c r="Q457" s="75"/>
      <c r="R457" s="75"/>
      <c r="S457" s="75"/>
      <c r="T457" s="75"/>
      <c r="U457" s="75"/>
      <c r="V457" s="77"/>
      <c r="W457" s="75"/>
      <c r="X457" s="75"/>
      <c r="Y457" s="75"/>
      <c r="Z457" s="78"/>
      <c r="AA457" s="78"/>
      <c r="AB457" s="75"/>
      <c r="AJ457" s="72"/>
    </row>
    <row r="458" spans="1:36" s="69" customFormat="1" x14ac:dyDescent="0.25">
      <c r="A458" s="75"/>
      <c r="B458" s="75"/>
      <c r="C458" s="76"/>
      <c r="D458" s="76"/>
      <c r="E458" s="75"/>
      <c r="F458" s="75"/>
      <c r="G458" s="75"/>
      <c r="H458" s="75"/>
      <c r="I458" s="75"/>
      <c r="J458" s="75"/>
      <c r="K458" s="75"/>
      <c r="L458" s="75"/>
      <c r="M458" s="75"/>
      <c r="N458" s="75"/>
      <c r="O458" s="75"/>
      <c r="P458" s="75"/>
      <c r="Q458" s="75"/>
      <c r="R458" s="75"/>
      <c r="S458" s="75"/>
      <c r="T458" s="75"/>
      <c r="U458" s="75"/>
      <c r="V458" s="77"/>
      <c r="W458" s="75"/>
      <c r="X458" s="75"/>
      <c r="Y458" s="75"/>
      <c r="Z458" s="78"/>
      <c r="AA458" s="78"/>
      <c r="AB458" s="75"/>
      <c r="AJ458" s="72"/>
    </row>
    <row r="459" spans="1:36" s="69" customFormat="1" x14ac:dyDescent="0.25">
      <c r="A459" s="75"/>
      <c r="B459" s="75"/>
      <c r="C459" s="76"/>
      <c r="D459" s="76"/>
      <c r="E459" s="75"/>
      <c r="F459" s="75"/>
      <c r="G459" s="75"/>
      <c r="H459" s="75"/>
      <c r="I459" s="75"/>
      <c r="J459" s="75"/>
      <c r="K459" s="75"/>
      <c r="L459" s="75"/>
      <c r="M459" s="75"/>
      <c r="N459" s="75"/>
      <c r="O459" s="75"/>
      <c r="P459" s="75"/>
      <c r="Q459" s="75"/>
      <c r="R459" s="75"/>
      <c r="S459" s="75"/>
      <c r="T459" s="75"/>
      <c r="U459" s="75"/>
      <c r="V459" s="77"/>
      <c r="W459" s="75"/>
      <c r="X459" s="75"/>
      <c r="Y459" s="75"/>
      <c r="Z459" s="78"/>
      <c r="AA459" s="78"/>
      <c r="AB459" s="75"/>
      <c r="AJ459" s="72"/>
    </row>
    <row r="460" spans="1:36" s="69" customFormat="1" x14ac:dyDescent="0.25">
      <c r="A460" s="75"/>
      <c r="B460" s="75"/>
      <c r="C460" s="76"/>
      <c r="D460" s="76"/>
      <c r="E460" s="75"/>
      <c r="F460" s="75"/>
      <c r="G460" s="75"/>
      <c r="H460" s="75"/>
      <c r="I460" s="75"/>
      <c r="J460" s="75"/>
      <c r="K460" s="75"/>
      <c r="L460" s="75"/>
      <c r="M460" s="75"/>
      <c r="N460" s="75"/>
      <c r="O460" s="75"/>
      <c r="P460" s="75"/>
      <c r="Q460" s="75"/>
      <c r="R460" s="75"/>
      <c r="S460" s="75"/>
      <c r="T460" s="75"/>
      <c r="U460" s="75"/>
      <c r="V460" s="77"/>
      <c r="W460" s="75"/>
      <c r="X460" s="75"/>
      <c r="Y460" s="75"/>
      <c r="Z460" s="78"/>
      <c r="AA460" s="78"/>
      <c r="AB460" s="75"/>
      <c r="AJ460" s="72"/>
    </row>
    <row r="461" spans="1:36" s="69" customFormat="1" x14ac:dyDescent="0.25">
      <c r="A461" s="75"/>
      <c r="B461" s="75"/>
      <c r="C461" s="76"/>
      <c r="D461" s="76"/>
      <c r="E461" s="75"/>
      <c r="F461" s="75"/>
      <c r="G461" s="75"/>
      <c r="H461" s="75"/>
      <c r="I461" s="75"/>
      <c r="J461" s="75"/>
      <c r="K461" s="75"/>
      <c r="L461" s="75"/>
      <c r="M461" s="75"/>
      <c r="N461" s="75"/>
      <c r="O461" s="75"/>
      <c r="P461" s="75"/>
      <c r="Q461" s="75"/>
      <c r="R461" s="75"/>
      <c r="S461" s="75"/>
      <c r="T461" s="75"/>
      <c r="U461" s="75"/>
      <c r="V461" s="77"/>
      <c r="W461" s="75"/>
      <c r="X461" s="75"/>
      <c r="Y461" s="75"/>
      <c r="Z461" s="78"/>
      <c r="AA461" s="78"/>
      <c r="AB461" s="75"/>
      <c r="AJ461" s="72"/>
    </row>
    <row r="462" spans="1:36" s="69" customFormat="1" x14ac:dyDescent="0.25">
      <c r="A462" s="75"/>
      <c r="B462" s="75"/>
      <c r="C462" s="76"/>
      <c r="D462" s="76"/>
      <c r="E462" s="75"/>
      <c r="F462" s="75"/>
      <c r="G462" s="75"/>
      <c r="H462" s="75"/>
      <c r="I462" s="75"/>
      <c r="J462" s="75"/>
      <c r="K462" s="75"/>
      <c r="L462" s="75"/>
      <c r="M462" s="75"/>
      <c r="N462" s="75"/>
      <c r="O462" s="75"/>
      <c r="P462" s="75"/>
      <c r="Q462" s="75"/>
      <c r="R462" s="75"/>
      <c r="S462" s="75"/>
      <c r="T462" s="75"/>
      <c r="U462" s="75"/>
      <c r="V462" s="77"/>
      <c r="W462" s="75"/>
      <c r="X462" s="75"/>
      <c r="Y462" s="75"/>
      <c r="Z462" s="78"/>
      <c r="AA462" s="78"/>
      <c r="AB462" s="75"/>
      <c r="AJ462" s="72"/>
    </row>
    <row r="463" spans="1:36" s="69" customFormat="1" x14ac:dyDescent="0.25">
      <c r="A463" s="75"/>
      <c r="B463" s="75"/>
      <c r="C463" s="76"/>
      <c r="D463" s="76"/>
      <c r="E463" s="75"/>
      <c r="F463" s="75"/>
      <c r="G463" s="75"/>
      <c r="H463" s="75"/>
      <c r="I463" s="75"/>
      <c r="J463" s="75"/>
      <c r="K463" s="75"/>
      <c r="L463" s="75"/>
      <c r="M463" s="75"/>
      <c r="N463" s="75"/>
      <c r="O463" s="75"/>
      <c r="P463" s="75"/>
      <c r="Q463" s="75"/>
      <c r="R463" s="75"/>
      <c r="S463" s="75"/>
      <c r="T463" s="75"/>
      <c r="U463" s="75"/>
      <c r="V463" s="77"/>
      <c r="W463" s="75"/>
      <c r="X463" s="75"/>
      <c r="Y463" s="75"/>
      <c r="Z463" s="78"/>
      <c r="AA463" s="78"/>
      <c r="AB463" s="75"/>
      <c r="AJ463" s="72"/>
    </row>
    <row r="464" spans="1:36" s="69" customFormat="1" x14ac:dyDescent="0.25">
      <c r="A464" s="75"/>
      <c r="B464" s="75"/>
      <c r="C464" s="76"/>
      <c r="D464" s="76"/>
      <c r="E464" s="75"/>
      <c r="F464" s="75"/>
      <c r="G464" s="75"/>
      <c r="H464" s="75"/>
      <c r="I464" s="75"/>
      <c r="J464" s="75"/>
      <c r="K464" s="75"/>
      <c r="L464" s="75"/>
      <c r="M464" s="75"/>
      <c r="N464" s="75"/>
      <c r="O464" s="75"/>
      <c r="P464" s="75"/>
      <c r="Q464" s="75"/>
      <c r="R464" s="75"/>
      <c r="S464" s="75"/>
      <c r="T464" s="75"/>
      <c r="U464" s="75"/>
      <c r="V464" s="77"/>
      <c r="W464" s="75"/>
      <c r="X464" s="75"/>
      <c r="Y464" s="75"/>
      <c r="Z464" s="78"/>
      <c r="AA464" s="78"/>
      <c r="AB464" s="75"/>
      <c r="AJ464" s="72"/>
    </row>
    <row r="465" spans="1:36" s="69" customFormat="1" x14ac:dyDescent="0.25">
      <c r="A465" s="75"/>
      <c r="B465" s="75"/>
      <c r="C465" s="76"/>
      <c r="D465" s="76"/>
      <c r="E465" s="75"/>
      <c r="F465" s="75"/>
      <c r="G465" s="75"/>
      <c r="H465" s="75"/>
      <c r="I465" s="75"/>
      <c r="J465" s="75"/>
      <c r="K465" s="75"/>
      <c r="L465" s="75"/>
      <c r="M465" s="75"/>
      <c r="N465" s="75"/>
      <c r="O465" s="75"/>
      <c r="P465" s="75"/>
      <c r="Q465" s="75"/>
      <c r="R465" s="75"/>
      <c r="S465" s="75"/>
      <c r="T465" s="75"/>
      <c r="U465" s="75"/>
      <c r="V465" s="77"/>
      <c r="W465" s="75"/>
      <c r="X465" s="75"/>
      <c r="Y465" s="75"/>
      <c r="Z465" s="78"/>
      <c r="AA465" s="78"/>
      <c r="AB465" s="75"/>
      <c r="AJ465" s="72"/>
    </row>
    <row r="466" spans="1:36" s="69" customFormat="1" x14ac:dyDescent="0.25">
      <c r="A466" s="75"/>
      <c r="B466" s="75"/>
      <c r="C466" s="76"/>
      <c r="D466" s="76"/>
      <c r="E466" s="75"/>
      <c r="F466" s="75"/>
      <c r="G466" s="75"/>
      <c r="H466" s="75"/>
      <c r="I466" s="75"/>
      <c r="J466" s="75"/>
      <c r="K466" s="75"/>
      <c r="L466" s="75"/>
      <c r="M466" s="75"/>
      <c r="N466" s="75"/>
      <c r="O466" s="75"/>
      <c r="P466" s="75"/>
      <c r="Q466" s="75"/>
      <c r="R466" s="75"/>
      <c r="S466" s="75"/>
      <c r="T466" s="75"/>
      <c r="U466" s="75"/>
      <c r="V466" s="77"/>
      <c r="W466" s="75"/>
      <c r="X466" s="75"/>
      <c r="Y466" s="75"/>
      <c r="Z466" s="78"/>
      <c r="AA466" s="78"/>
      <c r="AB466" s="75"/>
      <c r="AJ466" s="72"/>
    </row>
    <row r="467" spans="1:36" s="69" customFormat="1" x14ac:dyDescent="0.25">
      <c r="A467" s="75"/>
      <c r="B467" s="75"/>
      <c r="C467" s="76"/>
      <c r="D467" s="76"/>
      <c r="E467" s="75"/>
      <c r="F467" s="75"/>
      <c r="G467" s="75"/>
      <c r="H467" s="75"/>
      <c r="I467" s="75"/>
      <c r="J467" s="75"/>
      <c r="K467" s="75"/>
      <c r="L467" s="75"/>
      <c r="M467" s="75"/>
      <c r="N467" s="75"/>
      <c r="O467" s="75"/>
      <c r="P467" s="75"/>
      <c r="Q467" s="75"/>
      <c r="R467" s="75"/>
      <c r="S467" s="75"/>
      <c r="T467" s="75"/>
      <c r="U467" s="75"/>
      <c r="V467" s="77"/>
      <c r="W467" s="75"/>
      <c r="X467" s="75"/>
      <c r="Y467" s="75"/>
      <c r="Z467" s="78"/>
      <c r="AA467" s="78"/>
      <c r="AB467" s="75"/>
      <c r="AJ467" s="72"/>
    </row>
    <row r="468" spans="1:36" s="69" customFormat="1" x14ac:dyDescent="0.25">
      <c r="A468" s="75"/>
      <c r="B468" s="75"/>
      <c r="C468" s="76"/>
      <c r="D468" s="76"/>
      <c r="E468" s="75"/>
      <c r="F468" s="75"/>
      <c r="G468" s="75"/>
      <c r="H468" s="75"/>
      <c r="I468" s="75"/>
      <c r="J468" s="75"/>
      <c r="K468" s="75"/>
      <c r="L468" s="75"/>
      <c r="M468" s="75"/>
      <c r="N468" s="75"/>
      <c r="O468" s="75"/>
      <c r="P468" s="75"/>
      <c r="Q468" s="75"/>
      <c r="R468" s="75"/>
      <c r="S468" s="75"/>
      <c r="T468" s="75"/>
      <c r="U468" s="75"/>
      <c r="V468" s="77"/>
      <c r="W468" s="75"/>
      <c r="X468" s="75"/>
      <c r="Y468" s="75"/>
      <c r="Z468" s="78"/>
      <c r="AA468" s="78"/>
      <c r="AB468" s="75"/>
      <c r="AJ468" s="72"/>
    </row>
    <row r="469" spans="1:36" s="69" customFormat="1" x14ac:dyDescent="0.25">
      <c r="A469" s="75"/>
      <c r="B469" s="75"/>
      <c r="C469" s="76"/>
      <c r="D469" s="76"/>
      <c r="E469" s="75"/>
      <c r="F469" s="75"/>
      <c r="G469" s="75"/>
      <c r="H469" s="75"/>
      <c r="I469" s="75"/>
      <c r="J469" s="75"/>
      <c r="K469" s="75"/>
      <c r="L469" s="75"/>
      <c r="M469" s="75"/>
      <c r="N469" s="75"/>
      <c r="O469" s="75"/>
      <c r="P469" s="75"/>
      <c r="Q469" s="75"/>
      <c r="R469" s="75"/>
      <c r="S469" s="75"/>
      <c r="T469" s="75"/>
      <c r="U469" s="75"/>
      <c r="V469" s="77"/>
      <c r="W469" s="75"/>
      <c r="X469" s="75"/>
      <c r="Y469" s="75"/>
      <c r="Z469" s="78"/>
      <c r="AA469" s="78"/>
      <c r="AB469" s="75"/>
      <c r="AJ469" s="72"/>
    </row>
    <row r="470" spans="1:36" s="69" customFormat="1" x14ac:dyDescent="0.25">
      <c r="A470" s="75"/>
      <c r="B470" s="75"/>
      <c r="C470" s="76"/>
      <c r="D470" s="76"/>
      <c r="E470" s="75"/>
      <c r="F470" s="75"/>
      <c r="G470" s="75"/>
      <c r="H470" s="75"/>
      <c r="I470" s="75"/>
      <c r="J470" s="75"/>
      <c r="K470" s="75"/>
      <c r="L470" s="75"/>
      <c r="M470" s="75"/>
      <c r="N470" s="75"/>
      <c r="O470" s="75"/>
      <c r="P470" s="75"/>
      <c r="Q470" s="75"/>
      <c r="R470" s="75"/>
      <c r="S470" s="75"/>
      <c r="T470" s="75"/>
      <c r="U470" s="75"/>
      <c r="V470" s="77"/>
      <c r="W470" s="75"/>
      <c r="X470" s="75"/>
      <c r="Y470" s="75"/>
      <c r="Z470" s="78"/>
      <c r="AA470" s="78"/>
      <c r="AB470" s="75"/>
      <c r="AJ470" s="72"/>
    </row>
    <row r="471" spans="1:36" s="69" customFormat="1" x14ac:dyDescent="0.25">
      <c r="A471" s="75"/>
      <c r="B471" s="75"/>
      <c r="C471" s="76"/>
      <c r="D471" s="76"/>
      <c r="E471" s="75"/>
      <c r="F471" s="75"/>
      <c r="G471" s="75"/>
      <c r="H471" s="75"/>
      <c r="I471" s="75"/>
      <c r="J471" s="75"/>
      <c r="K471" s="75"/>
      <c r="L471" s="75"/>
      <c r="M471" s="75"/>
      <c r="N471" s="75"/>
      <c r="O471" s="75"/>
      <c r="P471" s="75"/>
      <c r="Q471" s="75"/>
      <c r="R471" s="75"/>
      <c r="S471" s="75"/>
      <c r="T471" s="75"/>
      <c r="U471" s="75"/>
      <c r="V471" s="77"/>
      <c r="W471" s="75"/>
      <c r="X471" s="75"/>
      <c r="Y471" s="75"/>
      <c r="Z471" s="78"/>
      <c r="AA471" s="78"/>
      <c r="AB471" s="75"/>
      <c r="AJ471" s="72"/>
    </row>
    <row r="472" spans="1:36" s="69" customFormat="1" x14ac:dyDescent="0.25">
      <c r="A472" s="75"/>
      <c r="B472" s="75"/>
      <c r="C472" s="76"/>
      <c r="D472" s="76"/>
      <c r="E472" s="75"/>
      <c r="F472" s="75"/>
      <c r="G472" s="75"/>
      <c r="H472" s="75"/>
      <c r="I472" s="75"/>
      <c r="J472" s="75"/>
      <c r="K472" s="75"/>
      <c r="L472" s="75"/>
      <c r="M472" s="75"/>
      <c r="N472" s="75"/>
      <c r="O472" s="75"/>
      <c r="P472" s="75"/>
      <c r="Q472" s="75"/>
      <c r="R472" s="75"/>
      <c r="S472" s="75"/>
      <c r="T472" s="75"/>
      <c r="U472" s="75"/>
      <c r="V472" s="77"/>
      <c r="W472" s="75"/>
      <c r="X472" s="75"/>
      <c r="Y472" s="75"/>
      <c r="Z472" s="78"/>
      <c r="AA472" s="78"/>
      <c r="AB472" s="75"/>
      <c r="AJ472" s="72"/>
    </row>
    <row r="473" spans="1:36" s="69" customFormat="1" x14ac:dyDescent="0.25">
      <c r="A473" s="75"/>
      <c r="B473" s="75"/>
      <c r="C473" s="76"/>
      <c r="D473" s="76"/>
      <c r="E473" s="75"/>
      <c r="F473" s="75"/>
      <c r="G473" s="75"/>
      <c r="H473" s="75"/>
      <c r="I473" s="75"/>
      <c r="J473" s="75"/>
      <c r="K473" s="75"/>
      <c r="L473" s="75"/>
      <c r="M473" s="75"/>
      <c r="N473" s="75"/>
      <c r="O473" s="75"/>
      <c r="P473" s="75"/>
      <c r="Q473" s="75"/>
      <c r="R473" s="75"/>
      <c r="S473" s="75"/>
      <c r="T473" s="75"/>
      <c r="U473" s="75"/>
      <c r="V473" s="77"/>
      <c r="W473" s="75"/>
      <c r="X473" s="75"/>
      <c r="Y473" s="75"/>
      <c r="Z473" s="78"/>
      <c r="AA473" s="78"/>
      <c r="AB473" s="75"/>
      <c r="AJ473" s="72"/>
    </row>
    <row r="474" spans="1:36" s="69" customFormat="1" x14ac:dyDescent="0.25">
      <c r="A474" s="75"/>
      <c r="B474" s="75"/>
      <c r="C474" s="76"/>
      <c r="D474" s="76"/>
      <c r="E474" s="75"/>
      <c r="F474" s="75"/>
      <c r="G474" s="75"/>
      <c r="H474" s="75"/>
      <c r="I474" s="75"/>
      <c r="J474" s="75"/>
      <c r="K474" s="75"/>
      <c r="L474" s="75"/>
      <c r="M474" s="75"/>
      <c r="N474" s="75"/>
      <c r="O474" s="75"/>
      <c r="P474" s="75"/>
      <c r="Q474" s="75"/>
      <c r="R474" s="75"/>
      <c r="S474" s="75"/>
      <c r="T474" s="75"/>
      <c r="U474" s="75"/>
      <c r="V474" s="77"/>
      <c r="W474" s="75"/>
      <c r="X474" s="75"/>
      <c r="Y474" s="75"/>
      <c r="Z474" s="78"/>
      <c r="AA474" s="78"/>
      <c r="AB474" s="75"/>
      <c r="AJ474" s="72"/>
    </row>
    <row r="475" spans="1:36" s="69" customFormat="1" x14ac:dyDescent="0.25">
      <c r="A475" s="75"/>
      <c r="B475" s="75"/>
      <c r="C475" s="76"/>
      <c r="D475" s="76"/>
      <c r="E475" s="75"/>
      <c r="F475" s="75"/>
      <c r="G475" s="75"/>
      <c r="H475" s="75"/>
      <c r="I475" s="75"/>
      <c r="J475" s="75"/>
      <c r="K475" s="75"/>
      <c r="L475" s="75"/>
      <c r="M475" s="75"/>
      <c r="N475" s="75"/>
      <c r="O475" s="75"/>
      <c r="P475" s="75"/>
      <c r="Q475" s="75"/>
      <c r="R475" s="75"/>
      <c r="S475" s="75"/>
      <c r="T475" s="75"/>
      <c r="U475" s="75"/>
      <c r="V475" s="77"/>
      <c r="W475" s="75"/>
      <c r="X475" s="75"/>
      <c r="Y475" s="75"/>
      <c r="Z475" s="78"/>
      <c r="AA475" s="78"/>
      <c r="AB475" s="75"/>
      <c r="AJ475" s="72"/>
    </row>
    <row r="476" spans="1:36" s="69" customFormat="1" x14ac:dyDescent="0.25">
      <c r="A476" s="75"/>
      <c r="B476" s="75"/>
      <c r="C476" s="76"/>
      <c r="D476" s="76"/>
      <c r="E476" s="75"/>
      <c r="F476" s="75"/>
      <c r="G476" s="75"/>
      <c r="H476" s="75"/>
      <c r="I476" s="75"/>
      <c r="J476" s="75"/>
      <c r="K476" s="75"/>
      <c r="L476" s="75"/>
      <c r="M476" s="75"/>
      <c r="N476" s="75"/>
      <c r="O476" s="75"/>
      <c r="P476" s="75"/>
      <c r="Q476" s="75"/>
      <c r="R476" s="75"/>
      <c r="S476" s="75"/>
      <c r="T476" s="75"/>
      <c r="U476" s="75"/>
      <c r="V476" s="77"/>
      <c r="W476" s="75"/>
      <c r="X476" s="75"/>
      <c r="Y476" s="75"/>
      <c r="Z476" s="78"/>
      <c r="AA476" s="78"/>
      <c r="AB476" s="75"/>
      <c r="AJ476" s="72"/>
    </row>
    <row r="477" spans="1:36" s="69" customFormat="1" x14ac:dyDescent="0.25">
      <c r="A477" s="75"/>
      <c r="B477" s="75"/>
      <c r="C477" s="76"/>
      <c r="D477" s="76"/>
      <c r="E477" s="75"/>
      <c r="F477" s="75"/>
      <c r="G477" s="75"/>
      <c r="H477" s="75"/>
      <c r="I477" s="75"/>
      <c r="J477" s="75"/>
      <c r="K477" s="75"/>
      <c r="L477" s="75"/>
      <c r="M477" s="75"/>
      <c r="N477" s="75"/>
      <c r="O477" s="75"/>
      <c r="P477" s="75"/>
      <c r="Q477" s="75"/>
      <c r="R477" s="75"/>
      <c r="S477" s="75"/>
      <c r="T477" s="75"/>
      <c r="U477" s="75"/>
      <c r="V477" s="77"/>
      <c r="W477" s="75"/>
      <c r="X477" s="75"/>
      <c r="Y477" s="75"/>
      <c r="Z477" s="78"/>
      <c r="AA477" s="78"/>
      <c r="AB477" s="75"/>
      <c r="AJ477" s="72"/>
    </row>
    <row r="478" spans="1:36" s="69" customFormat="1" x14ac:dyDescent="0.25">
      <c r="A478" s="75"/>
      <c r="B478" s="75"/>
      <c r="C478" s="76"/>
      <c r="D478" s="76"/>
      <c r="E478" s="75"/>
      <c r="F478" s="75"/>
      <c r="G478" s="75"/>
      <c r="H478" s="75"/>
      <c r="I478" s="75"/>
      <c r="J478" s="75"/>
      <c r="K478" s="75"/>
      <c r="L478" s="75"/>
      <c r="M478" s="75"/>
      <c r="N478" s="75"/>
      <c r="O478" s="75"/>
      <c r="P478" s="75"/>
      <c r="Q478" s="75"/>
      <c r="R478" s="75"/>
      <c r="S478" s="75"/>
      <c r="T478" s="75"/>
      <c r="U478" s="75"/>
      <c r="V478" s="77"/>
      <c r="W478" s="75"/>
      <c r="X478" s="75"/>
      <c r="Y478" s="75"/>
      <c r="Z478" s="78"/>
      <c r="AA478" s="78"/>
      <c r="AB478" s="75"/>
      <c r="AJ478" s="72"/>
    </row>
    <row r="479" spans="1:36" s="69" customFormat="1" x14ac:dyDescent="0.25">
      <c r="A479" s="75"/>
      <c r="B479" s="75"/>
      <c r="C479" s="76"/>
      <c r="D479" s="76"/>
      <c r="E479" s="75"/>
      <c r="F479" s="75"/>
      <c r="G479" s="75"/>
      <c r="H479" s="75"/>
      <c r="I479" s="75"/>
      <c r="J479" s="75"/>
      <c r="K479" s="75"/>
      <c r="L479" s="75"/>
      <c r="M479" s="75"/>
      <c r="N479" s="75"/>
      <c r="O479" s="75"/>
      <c r="P479" s="75"/>
      <c r="Q479" s="75"/>
      <c r="R479" s="75"/>
      <c r="S479" s="75"/>
      <c r="T479" s="75"/>
      <c r="U479" s="75"/>
      <c r="V479" s="77"/>
      <c r="W479" s="75"/>
      <c r="X479" s="75"/>
      <c r="Y479" s="75"/>
      <c r="Z479" s="78"/>
      <c r="AA479" s="78"/>
      <c r="AB479" s="75"/>
      <c r="AJ479" s="72"/>
    </row>
    <row r="480" spans="1:36" s="69" customFormat="1" x14ac:dyDescent="0.25">
      <c r="A480" s="75"/>
      <c r="B480" s="75"/>
      <c r="C480" s="76"/>
      <c r="D480" s="76"/>
      <c r="E480" s="75"/>
      <c r="F480" s="75"/>
      <c r="G480" s="75"/>
      <c r="H480" s="75"/>
      <c r="I480" s="75"/>
      <c r="J480" s="75"/>
      <c r="K480" s="75"/>
      <c r="L480" s="75"/>
      <c r="M480" s="75"/>
      <c r="N480" s="75"/>
      <c r="O480" s="75"/>
      <c r="P480" s="75"/>
      <c r="Q480" s="75"/>
      <c r="R480" s="75"/>
      <c r="S480" s="75"/>
      <c r="T480" s="75"/>
      <c r="U480" s="75"/>
      <c r="V480" s="77"/>
      <c r="W480" s="75"/>
      <c r="X480" s="75"/>
      <c r="Y480" s="75"/>
      <c r="Z480" s="78"/>
      <c r="AA480" s="78"/>
      <c r="AB480" s="75"/>
      <c r="AJ480" s="72"/>
    </row>
    <row r="481" spans="1:36" s="69" customFormat="1" x14ac:dyDescent="0.25">
      <c r="A481" s="75"/>
      <c r="B481" s="75"/>
      <c r="C481" s="76"/>
      <c r="D481" s="76"/>
      <c r="E481" s="75"/>
      <c r="F481" s="75"/>
      <c r="G481" s="75"/>
      <c r="H481" s="75"/>
      <c r="I481" s="75"/>
      <c r="J481" s="75"/>
      <c r="K481" s="75"/>
      <c r="L481" s="75"/>
      <c r="M481" s="75"/>
      <c r="N481" s="75"/>
      <c r="O481" s="75"/>
      <c r="P481" s="75"/>
      <c r="Q481" s="75"/>
      <c r="R481" s="75"/>
      <c r="S481" s="75"/>
      <c r="T481" s="75"/>
      <c r="U481" s="75"/>
      <c r="V481" s="77"/>
      <c r="W481" s="75"/>
      <c r="X481" s="75"/>
      <c r="Y481" s="75"/>
      <c r="Z481" s="78"/>
      <c r="AA481" s="78"/>
      <c r="AB481" s="75"/>
      <c r="AJ481" s="72"/>
    </row>
    <row r="482" spans="1:36" s="69" customFormat="1" x14ac:dyDescent="0.25">
      <c r="A482" s="75"/>
      <c r="B482" s="75"/>
      <c r="C482" s="76"/>
      <c r="D482" s="76"/>
      <c r="E482" s="75"/>
      <c r="F482" s="75"/>
      <c r="G482" s="75"/>
      <c r="H482" s="75"/>
      <c r="I482" s="75"/>
      <c r="J482" s="75"/>
      <c r="K482" s="75"/>
      <c r="L482" s="75"/>
      <c r="M482" s="75"/>
      <c r="N482" s="75"/>
      <c r="O482" s="75"/>
      <c r="P482" s="75"/>
      <c r="Q482" s="75"/>
      <c r="R482" s="75"/>
      <c r="S482" s="75"/>
      <c r="T482" s="75"/>
      <c r="U482" s="75"/>
      <c r="V482" s="77"/>
      <c r="W482" s="75"/>
      <c r="X482" s="75"/>
      <c r="Y482" s="75"/>
      <c r="Z482" s="78"/>
      <c r="AA482" s="78"/>
      <c r="AB482" s="75"/>
      <c r="AJ482" s="72"/>
    </row>
    <row r="483" spans="1:36" s="69" customFormat="1" x14ac:dyDescent="0.25">
      <c r="A483" s="75"/>
      <c r="B483" s="75"/>
      <c r="C483" s="76"/>
      <c r="D483" s="76"/>
      <c r="E483" s="75"/>
      <c r="F483" s="75"/>
      <c r="G483" s="75"/>
      <c r="H483" s="75"/>
      <c r="I483" s="75"/>
      <c r="J483" s="75"/>
      <c r="K483" s="75"/>
      <c r="L483" s="75"/>
      <c r="M483" s="75"/>
      <c r="N483" s="75"/>
      <c r="O483" s="75"/>
      <c r="P483" s="75"/>
      <c r="Q483" s="75"/>
      <c r="R483" s="75"/>
      <c r="S483" s="75"/>
      <c r="T483" s="75"/>
      <c r="U483" s="75"/>
      <c r="V483" s="77"/>
      <c r="W483" s="75"/>
      <c r="X483" s="75"/>
      <c r="Y483" s="75"/>
      <c r="Z483" s="78"/>
      <c r="AA483" s="78"/>
      <c r="AB483" s="75"/>
      <c r="AJ483" s="72"/>
    </row>
    <row r="484" spans="1:36" s="69" customFormat="1" x14ac:dyDescent="0.25">
      <c r="A484" s="75"/>
      <c r="B484" s="75"/>
      <c r="C484" s="76"/>
      <c r="D484" s="76"/>
      <c r="E484" s="75"/>
      <c r="F484" s="75"/>
      <c r="G484" s="75"/>
      <c r="H484" s="75"/>
      <c r="I484" s="75"/>
      <c r="J484" s="75"/>
      <c r="K484" s="75"/>
      <c r="L484" s="75"/>
      <c r="M484" s="75"/>
      <c r="N484" s="75"/>
      <c r="O484" s="75"/>
      <c r="P484" s="75"/>
      <c r="Q484" s="75"/>
      <c r="R484" s="75"/>
      <c r="S484" s="75"/>
      <c r="T484" s="75"/>
      <c r="U484" s="75"/>
      <c r="V484" s="77"/>
      <c r="W484" s="75"/>
      <c r="X484" s="75"/>
      <c r="Y484" s="75"/>
      <c r="Z484" s="78"/>
      <c r="AA484" s="78"/>
      <c r="AB484" s="75"/>
      <c r="AJ484" s="72"/>
    </row>
    <row r="485" spans="1:36" s="69" customFormat="1" x14ac:dyDescent="0.25">
      <c r="A485" s="75"/>
      <c r="B485" s="75"/>
      <c r="C485" s="76"/>
      <c r="D485" s="76"/>
      <c r="E485" s="75"/>
      <c r="F485" s="75"/>
      <c r="G485" s="75"/>
      <c r="H485" s="75"/>
      <c r="I485" s="75"/>
      <c r="J485" s="75"/>
      <c r="K485" s="75"/>
      <c r="L485" s="75"/>
      <c r="M485" s="75"/>
      <c r="N485" s="75"/>
      <c r="O485" s="75"/>
      <c r="P485" s="75"/>
      <c r="Q485" s="75"/>
      <c r="R485" s="75"/>
      <c r="S485" s="75"/>
      <c r="T485" s="75"/>
      <c r="U485" s="75"/>
      <c r="V485" s="77"/>
      <c r="W485" s="75"/>
      <c r="X485" s="75"/>
      <c r="Y485" s="75"/>
      <c r="Z485" s="78"/>
      <c r="AA485" s="78"/>
      <c r="AB485" s="75"/>
      <c r="AJ485" s="72"/>
    </row>
    <row r="486" spans="1:36" s="69" customFormat="1" x14ac:dyDescent="0.25">
      <c r="A486" s="75"/>
      <c r="B486" s="75"/>
      <c r="C486" s="76"/>
      <c r="D486" s="76"/>
      <c r="E486" s="75"/>
      <c r="F486" s="75"/>
      <c r="G486" s="75"/>
      <c r="H486" s="75"/>
      <c r="I486" s="75"/>
      <c r="J486" s="75"/>
      <c r="K486" s="75"/>
      <c r="L486" s="75"/>
      <c r="M486" s="75"/>
      <c r="N486" s="75"/>
      <c r="O486" s="75"/>
      <c r="P486" s="75"/>
      <c r="Q486" s="75"/>
      <c r="R486" s="75"/>
      <c r="S486" s="75"/>
      <c r="T486" s="75"/>
      <c r="U486" s="75"/>
      <c r="V486" s="77"/>
      <c r="W486" s="75"/>
      <c r="X486" s="75"/>
      <c r="Y486" s="75"/>
      <c r="Z486" s="78"/>
      <c r="AA486" s="78"/>
      <c r="AB486" s="75"/>
      <c r="AJ486" s="72"/>
    </row>
    <row r="487" spans="1:36" s="69" customFormat="1" x14ac:dyDescent="0.25">
      <c r="A487" s="75"/>
      <c r="B487" s="75"/>
      <c r="C487" s="76"/>
      <c r="D487" s="76"/>
      <c r="E487" s="75"/>
      <c r="F487" s="75"/>
      <c r="G487" s="75"/>
      <c r="H487" s="75"/>
      <c r="I487" s="75"/>
      <c r="J487" s="75"/>
      <c r="K487" s="75"/>
      <c r="L487" s="75"/>
      <c r="M487" s="75"/>
      <c r="N487" s="75"/>
      <c r="O487" s="75"/>
      <c r="P487" s="75"/>
      <c r="Q487" s="75"/>
      <c r="R487" s="75"/>
      <c r="S487" s="75"/>
      <c r="T487" s="75"/>
      <c r="U487" s="75"/>
      <c r="V487" s="77"/>
      <c r="W487" s="75"/>
      <c r="X487" s="75"/>
      <c r="Y487" s="75"/>
      <c r="Z487" s="78"/>
      <c r="AA487" s="78"/>
      <c r="AB487" s="75"/>
      <c r="AJ487" s="72"/>
    </row>
    <row r="488" spans="1:36" s="69" customFormat="1" x14ac:dyDescent="0.25">
      <c r="A488" s="75"/>
      <c r="B488" s="75"/>
      <c r="C488" s="76"/>
      <c r="D488" s="76"/>
      <c r="E488" s="75"/>
      <c r="F488" s="75"/>
      <c r="G488" s="75"/>
      <c r="H488" s="75"/>
      <c r="I488" s="75"/>
      <c r="J488" s="75"/>
      <c r="K488" s="75"/>
      <c r="L488" s="75"/>
      <c r="M488" s="75"/>
      <c r="N488" s="75"/>
      <c r="O488" s="75"/>
      <c r="P488" s="75"/>
      <c r="Q488" s="75"/>
      <c r="R488" s="75"/>
      <c r="S488" s="75"/>
      <c r="T488" s="75"/>
      <c r="U488" s="75"/>
      <c r="V488" s="77"/>
      <c r="W488" s="75"/>
      <c r="X488" s="75"/>
      <c r="Y488" s="75"/>
      <c r="Z488" s="78"/>
      <c r="AA488" s="78"/>
      <c r="AB488" s="75"/>
      <c r="AJ488" s="72"/>
    </row>
    <row r="489" spans="1:36" s="69" customFormat="1" x14ac:dyDescent="0.25">
      <c r="A489" s="75"/>
      <c r="B489" s="75"/>
      <c r="C489" s="76"/>
      <c r="D489" s="76"/>
      <c r="E489" s="75"/>
      <c r="F489" s="75"/>
      <c r="G489" s="75"/>
      <c r="H489" s="75"/>
      <c r="I489" s="75"/>
      <c r="J489" s="75"/>
      <c r="K489" s="75"/>
      <c r="L489" s="75"/>
      <c r="M489" s="75"/>
      <c r="N489" s="75"/>
      <c r="O489" s="75"/>
      <c r="P489" s="75"/>
      <c r="Q489" s="75"/>
      <c r="R489" s="75"/>
      <c r="S489" s="75"/>
      <c r="T489" s="75"/>
      <c r="U489" s="75"/>
      <c r="V489" s="77"/>
      <c r="W489" s="75"/>
      <c r="X489" s="75"/>
      <c r="Y489" s="75"/>
      <c r="Z489" s="78"/>
      <c r="AA489" s="78"/>
      <c r="AB489" s="75"/>
      <c r="AJ489" s="72"/>
    </row>
    <row r="490" spans="1:36" s="69" customFormat="1" x14ac:dyDescent="0.25">
      <c r="A490" s="75"/>
      <c r="B490" s="75"/>
      <c r="C490" s="76"/>
      <c r="D490" s="76"/>
      <c r="E490" s="75"/>
      <c r="F490" s="75"/>
      <c r="G490" s="75"/>
      <c r="H490" s="75"/>
      <c r="I490" s="75"/>
      <c r="J490" s="75"/>
      <c r="K490" s="75"/>
      <c r="L490" s="75"/>
      <c r="M490" s="75"/>
      <c r="N490" s="75"/>
      <c r="O490" s="75"/>
      <c r="P490" s="75"/>
      <c r="Q490" s="75"/>
      <c r="R490" s="75"/>
      <c r="S490" s="75"/>
      <c r="T490" s="75"/>
      <c r="U490" s="75"/>
      <c r="V490" s="77"/>
      <c r="W490" s="75"/>
      <c r="X490" s="75"/>
      <c r="Y490" s="75"/>
      <c r="Z490" s="78"/>
      <c r="AA490" s="78"/>
      <c r="AB490" s="75"/>
      <c r="AJ490" s="72"/>
    </row>
    <row r="491" spans="1:36" s="69" customFormat="1" x14ac:dyDescent="0.25">
      <c r="A491" s="75"/>
      <c r="B491" s="75"/>
      <c r="C491" s="76"/>
      <c r="D491" s="76"/>
      <c r="E491" s="75"/>
      <c r="F491" s="75"/>
      <c r="G491" s="75"/>
      <c r="H491" s="75"/>
      <c r="I491" s="75"/>
      <c r="J491" s="75"/>
      <c r="K491" s="75"/>
      <c r="L491" s="75"/>
      <c r="M491" s="75"/>
      <c r="N491" s="75"/>
      <c r="O491" s="75"/>
      <c r="P491" s="75"/>
      <c r="Q491" s="75"/>
      <c r="R491" s="75"/>
      <c r="S491" s="75"/>
      <c r="T491" s="75"/>
      <c r="U491" s="75"/>
      <c r="V491" s="77"/>
      <c r="W491" s="75"/>
      <c r="X491" s="75"/>
      <c r="Y491" s="75"/>
      <c r="Z491" s="78"/>
      <c r="AA491" s="78"/>
      <c r="AB491" s="75"/>
      <c r="AJ491" s="72"/>
    </row>
    <row r="492" spans="1:36" s="69" customFormat="1" x14ac:dyDescent="0.25">
      <c r="A492" s="75"/>
      <c r="B492" s="75"/>
      <c r="C492" s="76"/>
      <c r="D492" s="76"/>
      <c r="E492" s="75"/>
      <c r="F492" s="75"/>
      <c r="G492" s="75"/>
      <c r="H492" s="75"/>
      <c r="I492" s="75"/>
      <c r="J492" s="75"/>
      <c r="K492" s="75"/>
      <c r="L492" s="75"/>
      <c r="M492" s="75"/>
      <c r="N492" s="75"/>
      <c r="O492" s="75"/>
      <c r="P492" s="75"/>
      <c r="Q492" s="75"/>
      <c r="R492" s="75"/>
      <c r="S492" s="75"/>
      <c r="T492" s="75"/>
      <c r="U492" s="75"/>
      <c r="V492" s="77"/>
      <c r="W492" s="75"/>
      <c r="X492" s="75"/>
      <c r="Y492" s="75"/>
      <c r="Z492" s="78"/>
      <c r="AA492" s="78"/>
      <c r="AB492" s="75"/>
      <c r="AJ492" s="72"/>
    </row>
    <row r="493" spans="1:36" s="69" customFormat="1" x14ac:dyDescent="0.25">
      <c r="A493" s="75"/>
      <c r="B493" s="75"/>
      <c r="C493" s="76"/>
      <c r="D493" s="76"/>
      <c r="E493" s="75"/>
      <c r="F493" s="75"/>
      <c r="G493" s="75"/>
      <c r="H493" s="75"/>
      <c r="I493" s="75"/>
      <c r="J493" s="75"/>
      <c r="K493" s="75"/>
      <c r="L493" s="75"/>
      <c r="M493" s="75"/>
      <c r="N493" s="75"/>
      <c r="O493" s="75"/>
      <c r="P493" s="75"/>
      <c r="Q493" s="75"/>
      <c r="R493" s="75"/>
      <c r="S493" s="75"/>
      <c r="T493" s="75"/>
      <c r="U493" s="75"/>
      <c r="V493" s="77"/>
      <c r="W493" s="75"/>
      <c r="X493" s="75"/>
      <c r="Y493" s="75"/>
      <c r="Z493" s="78"/>
      <c r="AA493" s="78"/>
      <c r="AB493" s="75"/>
      <c r="AJ493" s="72"/>
    </row>
    <row r="494" spans="1:36" s="69" customFormat="1" x14ac:dyDescent="0.25">
      <c r="A494" s="75"/>
      <c r="B494" s="75"/>
      <c r="C494" s="76"/>
      <c r="D494" s="76"/>
      <c r="E494" s="75"/>
      <c r="F494" s="75"/>
      <c r="G494" s="75"/>
      <c r="H494" s="75"/>
      <c r="I494" s="75"/>
      <c r="J494" s="75"/>
      <c r="K494" s="75"/>
      <c r="L494" s="75"/>
      <c r="M494" s="75"/>
      <c r="N494" s="75"/>
      <c r="O494" s="75"/>
      <c r="P494" s="75"/>
      <c r="Q494" s="75"/>
      <c r="R494" s="75"/>
      <c r="S494" s="75"/>
      <c r="T494" s="75"/>
      <c r="U494" s="75"/>
      <c r="V494" s="77"/>
      <c r="W494" s="75"/>
      <c r="X494" s="75"/>
      <c r="Y494" s="75"/>
      <c r="Z494" s="78"/>
      <c r="AA494" s="78"/>
      <c r="AB494" s="75"/>
      <c r="AJ494" s="72"/>
    </row>
    <row r="495" spans="1:36" s="69" customFormat="1" x14ac:dyDescent="0.25">
      <c r="A495" s="75"/>
      <c r="B495" s="75"/>
      <c r="C495" s="76"/>
      <c r="D495" s="76"/>
      <c r="E495" s="75"/>
      <c r="F495" s="75"/>
      <c r="G495" s="75"/>
      <c r="H495" s="75"/>
      <c r="I495" s="75"/>
      <c r="J495" s="75"/>
      <c r="K495" s="75"/>
      <c r="L495" s="75"/>
      <c r="M495" s="75"/>
      <c r="N495" s="75"/>
      <c r="O495" s="75"/>
      <c r="P495" s="75"/>
      <c r="Q495" s="75"/>
      <c r="R495" s="75"/>
      <c r="S495" s="75"/>
      <c r="T495" s="75"/>
      <c r="U495" s="75"/>
      <c r="V495" s="77"/>
      <c r="W495" s="75"/>
      <c r="X495" s="75"/>
      <c r="Y495" s="75"/>
      <c r="Z495" s="78"/>
      <c r="AA495" s="78"/>
      <c r="AB495" s="75"/>
      <c r="AJ495" s="72"/>
    </row>
    <row r="496" spans="1:36" s="69" customFormat="1" x14ac:dyDescent="0.25">
      <c r="A496" s="75"/>
      <c r="B496" s="75"/>
      <c r="C496" s="76"/>
      <c r="D496" s="76"/>
      <c r="E496" s="75"/>
      <c r="F496" s="75"/>
      <c r="G496" s="75"/>
      <c r="H496" s="75"/>
      <c r="I496" s="75"/>
      <c r="J496" s="75"/>
      <c r="K496" s="75"/>
      <c r="L496" s="75"/>
      <c r="M496" s="75"/>
      <c r="N496" s="75"/>
      <c r="O496" s="75"/>
      <c r="P496" s="75"/>
      <c r="Q496" s="75"/>
      <c r="R496" s="75"/>
      <c r="S496" s="75"/>
      <c r="T496" s="75"/>
      <c r="U496" s="75"/>
      <c r="V496" s="77"/>
      <c r="W496" s="75"/>
      <c r="X496" s="75"/>
      <c r="Y496" s="75"/>
      <c r="Z496" s="78"/>
      <c r="AA496" s="78"/>
      <c r="AB496" s="75"/>
      <c r="AJ496" s="72"/>
    </row>
    <row r="497" spans="1:36" s="69" customFormat="1" x14ac:dyDescent="0.25">
      <c r="A497" s="75"/>
      <c r="B497" s="75"/>
      <c r="C497" s="76"/>
      <c r="D497" s="76"/>
      <c r="E497" s="75"/>
      <c r="F497" s="75"/>
      <c r="G497" s="75"/>
      <c r="H497" s="75"/>
      <c r="I497" s="75"/>
      <c r="J497" s="75"/>
      <c r="K497" s="75"/>
      <c r="L497" s="75"/>
      <c r="M497" s="75"/>
      <c r="N497" s="75"/>
      <c r="O497" s="75"/>
      <c r="P497" s="75"/>
      <c r="Q497" s="75"/>
      <c r="R497" s="75"/>
      <c r="S497" s="75"/>
      <c r="T497" s="75"/>
      <c r="U497" s="75"/>
      <c r="V497" s="77"/>
      <c r="W497" s="75"/>
      <c r="X497" s="75"/>
      <c r="Y497" s="75"/>
      <c r="Z497" s="78"/>
      <c r="AA497" s="78"/>
      <c r="AB497" s="75"/>
      <c r="AJ497" s="72"/>
    </row>
    <row r="498" spans="1:36" s="69" customFormat="1" x14ac:dyDescent="0.25">
      <c r="A498" s="75"/>
      <c r="B498" s="75"/>
      <c r="C498" s="76"/>
      <c r="D498" s="76"/>
      <c r="E498" s="75"/>
      <c r="F498" s="75"/>
      <c r="G498" s="75"/>
      <c r="H498" s="75"/>
      <c r="I498" s="75"/>
      <c r="J498" s="75"/>
      <c r="K498" s="75"/>
      <c r="L498" s="75"/>
      <c r="M498" s="75"/>
      <c r="N498" s="75"/>
      <c r="O498" s="75"/>
      <c r="P498" s="75"/>
      <c r="Q498" s="75"/>
      <c r="R498" s="75"/>
      <c r="S498" s="75"/>
      <c r="T498" s="75"/>
      <c r="U498" s="75"/>
      <c r="V498" s="77"/>
      <c r="W498" s="75"/>
      <c r="X498" s="75"/>
      <c r="Y498" s="75"/>
      <c r="Z498" s="78"/>
      <c r="AA498" s="78"/>
      <c r="AB498" s="75"/>
      <c r="AJ498" s="72"/>
    </row>
    <row r="499" spans="1:36" s="69" customFormat="1" x14ac:dyDescent="0.25">
      <c r="A499" s="75"/>
      <c r="B499" s="75"/>
      <c r="C499" s="76"/>
      <c r="D499" s="76"/>
      <c r="E499" s="75"/>
      <c r="F499" s="75"/>
      <c r="G499" s="75"/>
      <c r="H499" s="75"/>
      <c r="I499" s="75"/>
      <c r="J499" s="75"/>
      <c r="K499" s="75"/>
      <c r="L499" s="75"/>
      <c r="M499" s="75"/>
      <c r="N499" s="75"/>
      <c r="O499" s="75"/>
      <c r="P499" s="75"/>
      <c r="Q499" s="75"/>
      <c r="R499" s="75"/>
      <c r="S499" s="75"/>
      <c r="T499" s="75"/>
      <c r="U499" s="75"/>
      <c r="V499" s="77"/>
      <c r="W499" s="75"/>
      <c r="X499" s="75"/>
      <c r="Y499" s="75"/>
      <c r="Z499" s="78"/>
      <c r="AA499" s="78"/>
      <c r="AB499" s="75"/>
      <c r="AJ499" s="72"/>
    </row>
    <row r="500" spans="1:36" s="69" customFormat="1" x14ac:dyDescent="0.25">
      <c r="A500" s="75"/>
      <c r="B500" s="75"/>
      <c r="C500" s="76"/>
      <c r="D500" s="76"/>
      <c r="E500" s="75"/>
      <c r="F500" s="75"/>
      <c r="G500" s="75"/>
      <c r="H500" s="75"/>
      <c r="I500" s="75"/>
      <c r="J500" s="75"/>
      <c r="K500" s="75"/>
      <c r="L500" s="75"/>
      <c r="M500" s="75"/>
      <c r="N500" s="75"/>
      <c r="O500" s="75"/>
      <c r="P500" s="75"/>
      <c r="Q500" s="75"/>
      <c r="R500" s="75"/>
      <c r="S500" s="75"/>
      <c r="T500" s="75"/>
      <c r="U500" s="75"/>
      <c r="V500" s="77"/>
      <c r="W500" s="75"/>
      <c r="X500" s="75"/>
      <c r="Y500" s="75"/>
      <c r="Z500" s="78"/>
      <c r="AA500" s="78"/>
      <c r="AB500" s="75"/>
      <c r="AJ500" s="72"/>
    </row>
    <row r="501" spans="1:36" s="69" customFormat="1" x14ac:dyDescent="0.25">
      <c r="A501" s="75"/>
      <c r="B501" s="75"/>
      <c r="C501" s="76"/>
      <c r="D501" s="76"/>
      <c r="E501" s="75"/>
      <c r="F501" s="75"/>
      <c r="G501" s="75"/>
      <c r="H501" s="75"/>
      <c r="I501" s="75"/>
      <c r="J501" s="75"/>
      <c r="K501" s="75"/>
      <c r="L501" s="75"/>
      <c r="M501" s="75"/>
      <c r="N501" s="75"/>
      <c r="O501" s="75"/>
      <c r="P501" s="75"/>
      <c r="Q501" s="75"/>
      <c r="R501" s="75"/>
      <c r="S501" s="75"/>
      <c r="T501" s="75"/>
      <c r="U501" s="75"/>
      <c r="V501" s="77"/>
      <c r="W501" s="75"/>
      <c r="X501" s="75"/>
      <c r="Y501" s="75"/>
      <c r="Z501" s="78"/>
      <c r="AA501" s="78"/>
      <c r="AB501" s="75"/>
      <c r="AJ501" s="72"/>
    </row>
    <row r="502" spans="1:36" s="69" customFormat="1" x14ac:dyDescent="0.25">
      <c r="A502" s="75"/>
      <c r="B502" s="75"/>
      <c r="C502" s="76"/>
      <c r="D502" s="76"/>
      <c r="E502" s="75"/>
      <c r="F502" s="75"/>
      <c r="G502" s="75"/>
      <c r="H502" s="75"/>
      <c r="I502" s="75"/>
      <c r="J502" s="75"/>
      <c r="K502" s="75"/>
      <c r="L502" s="75"/>
      <c r="M502" s="75"/>
      <c r="N502" s="75"/>
      <c r="O502" s="75"/>
      <c r="P502" s="75"/>
      <c r="Q502" s="75"/>
      <c r="R502" s="75"/>
      <c r="S502" s="75"/>
      <c r="T502" s="75"/>
      <c r="U502" s="75"/>
      <c r="V502" s="77"/>
      <c r="W502" s="75"/>
      <c r="X502" s="75"/>
      <c r="Y502" s="75"/>
      <c r="Z502" s="78"/>
      <c r="AA502" s="78"/>
      <c r="AB502" s="75"/>
      <c r="AJ502" s="72"/>
    </row>
    <row r="503" spans="1:36" s="69" customFormat="1" x14ac:dyDescent="0.25">
      <c r="A503" s="75"/>
      <c r="B503" s="75"/>
      <c r="C503" s="76"/>
      <c r="D503" s="76"/>
      <c r="E503" s="75"/>
      <c r="F503" s="75"/>
      <c r="G503" s="75"/>
      <c r="H503" s="75"/>
      <c r="I503" s="75"/>
      <c r="J503" s="75"/>
      <c r="K503" s="75"/>
      <c r="L503" s="75"/>
      <c r="M503" s="75"/>
      <c r="N503" s="75"/>
      <c r="O503" s="75"/>
      <c r="P503" s="75"/>
      <c r="Q503" s="75"/>
      <c r="R503" s="75"/>
      <c r="S503" s="75"/>
      <c r="T503" s="75"/>
      <c r="U503" s="75"/>
      <c r="V503" s="77"/>
      <c r="W503" s="75"/>
      <c r="X503" s="75"/>
      <c r="Y503" s="75"/>
      <c r="Z503" s="78"/>
      <c r="AA503" s="78"/>
      <c r="AB503" s="75"/>
      <c r="AJ503" s="72"/>
    </row>
    <row r="504" spans="1:36" s="69" customFormat="1" x14ac:dyDescent="0.25">
      <c r="A504" s="75"/>
      <c r="B504" s="75"/>
      <c r="C504" s="76"/>
      <c r="D504" s="76"/>
      <c r="E504" s="75"/>
      <c r="F504" s="75"/>
      <c r="G504" s="75"/>
      <c r="H504" s="75"/>
      <c r="I504" s="75"/>
      <c r="J504" s="75"/>
      <c r="K504" s="75"/>
      <c r="L504" s="75"/>
      <c r="M504" s="75"/>
      <c r="N504" s="75"/>
      <c r="O504" s="75"/>
      <c r="P504" s="75"/>
      <c r="Q504" s="75"/>
      <c r="R504" s="75"/>
      <c r="S504" s="75"/>
      <c r="T504" s="75"/>
      <c r="U504" s="75"/>
      <c r="V504" s="77"/>
      <c r="W504" s="75"/>
      <c r="X504" s="75"/>
      <c r="Y504" s="75"/>
      <c r="Z504" s="78"/>
      <c r="AA504" s="78"/>
      <c r="AB504" s="75"/>
      <c r="AJ504" s="72"/>
    </row>
    <row r="505" spans="1:36" s="69" customFormat="1" x14ac:dyDescent="0.25">
      <c r="A505" s="75"/>
      <c r="B505" s="75"/>
      <c r="C505" s="76"/>
      <c r="D505" s="76"/>
      <c r="E505" s="75"/>
      <c r="F505" s="75"/>
      <c r="G505" s="75"/>
      <c r="H505" s="75"/>
      <c r="I505" s="75"/>
      <c r="J505" s="75"/>
      <c r="K505" s="75"/>
      <c r="L505" s="75"/>
      <c r="M505" s="75"/>
      <c r="N505" s="75"/>
      <c r="O505" s="75"/>
      <c r="P505" s="75"/>
      <c r="Q505" s="75"/>
      <c r="R505" s="75"/>
      <c r="S505" s="75"/>
      <c r="T505" s="75"/>
      <c r="U505" s="75"/>
      <c r="V505" s="77"/>
      <c r="W505" s="75"/>
      <c r="X505" s="75"/>
      <c r="Y505" s="75"/>
      <c r="Z505" s="78"/>
      <c r="AA505" s="78"/>
      <c r="AB505" s="75"/>
      <c r="AJ505" s="72"/>
    </row>
    <row r="506" spans="1:36" s="69" customFormat="1" x14ac:dyDescent="0.25">
      <c r="A506" s="75"/>
      <c r="B506" s="75"/>
      <c r="C506" s="76"/>
      <c r="D506" s="76"/>
      <c r="E506" s="75"/>
      <c r="F506" s="75"/>
      <c r="G506" s="75"/>
      <c r="H506" s="75"/>
      <c r="I506" s="75"/>
      <c r="J506" s="75"/>
      <c r="K506" s="75"/>
      <c r="L506" s="75"/>
      <c r="M506" s="75"/>
      <c r="N506" s="75"/>
      <c r="O506" s="75"/>
      <c r="P506" s="75"/>
      <c r="Q506" s="75"/>
      <c r="R506" s="75"/>
      <c r="S506" s="75"/>
      <c r="T506" s="75"/>
      <c r="U506" s="75"/>
      <c r="V506" s="77"/>
      <c r="W506" s="75"/>
      <c r="X506" s="75"/>
      <c r="Y506" s="75"/>
      <c r="Z506" s="78"/>
      <c r="AA506" s="78"/>
      <c r="AB506" s="75"/>
      <c r="AJ506" s="72"/>
    </row>
    <row r="507" spans="1:36" s="69" customFormat="1" x14ac:dyDescent="0.25">
      <c r="A507" s="75"/>
      <c r="B507" s="75"/>
      <c r="C507" s="76"/>
      <c r="D507" s="76"/>
      <c r="E507" s="75"/>
      <c r="F507" s="75"/>
      <c r="G507" s="75"/>
      <c r="H507" s="75"/>
      <c r="I507" s="75"/>
      <c r="J507" s="75"/>
      <c r="K507" s="75"/>
      <c r="L507" s="75"/>
      <c r="M507" s="75"/>
      <c r="N507" s="75"/>
      <c r="O507" s="75"/>
      <c r="P507" s="75"/>
      <c r="Q507" s="75"/>
      <c r="R507" s="75"/>
      <c r="S507" s="75"/>
      <c r="T507" s="75"/>
      <c r="U507" s="75"/>
      <c r="V507" s="77"/>
      <c r="W507" s="75"/>
      <c r="X507" s="75"/>
      <c r="Y507" s="75"/>
      <c r="Z507" s="78"/>
      <c r="AA507" s="78"/>
      <c r="AB507" s="75"/>
      <c r="AJ507" s="72"/>
    </row>
    <row r="508" spans="1:36" s="69" customFormat="1" x14ac:dyDescent="0.25">
      <c r="A508" s="75"/>
      <c r="B508" s="75"/>
      <c r="C508" s="76"/>
      <c r="D508" s="76"/>
      <c r="E508" s="75"/>
      <c r="F508" s="75"/>
      <c r="G508" s="75"/>
      <c r="H508" s="75"/>
      <c r="I508" s="75"/>
      <c r="J508" s="75"/>
      <c r="K508" s="75"/>
      <c r="L508" s="75"/>
      <c r="M508" s="75"/>
      <c r="N508" s="75"/>
      <c r="O508" s="75"/>
      <c r="P508" s="75"/>
      <c r="Q508" s="75"/>
      <c r="R508" s="75"/>
      <c r="S508" s="75"/>
      <c r="T508" s="75"/>
      <c r="U508" s="75"/>
      <c r="V508" s="77"/>
      <c r="W508" s="75"/>
      <c r="X508" s="75"/>
      <c r="Y508" s="75"/>
      <c r="Z508" s="78"/>
      <c r="AA508" s="78"/>
      <c r="AB508" s="75"/>
      <c r="AJ508" s="72"/>
    </row>
    <row r="509" spans="1:36" s="69" customFormat="1" x14ac:dyDescent="0.25">
      <c r="A509" s="75"/>
      <c r="B509" s="75"/>
      <c r="C509" s="76"/>
      <c r="D509" s="76"/>
      <c r="E509" s="75"/>
      <c r="F509" s="75"/>
      <c r="G509" s="75"/>
      <c r="H509" s="75"/>
      <c r="I509" s="75"/>
      <c r="J509" s="75"/>
      <c r="K509" s="75"/>
      <c r="L509" s="75"/>
      <c r="M509" s="75"/>
      <c r="N509" s="75"/>
      <c r="O509" s="75"/>
      <c r="P509" s="75"/>
      <c r="Q509" s="75"/>
      <c r="R509" s="75"/>
      <c r="S509" s="75"/>
      <c r="T509" s="75"/>
      <c r="U509" s="75"/>
      <c r="V509" s="77"/>
      <c r="W509" s="75"/>
      <c r="X509" s="75"/>
      <c r="Y509" s="75"/>
      <c r="Z509" s="78"/>
      <c r="AA509" s="78"/>
      <c r="AB509" s="75"/>
      <c r="AJ509" s="72"/>
    </row>
    <row r="510" spans="1:36" s="69" customFormat="1" x14ac:dyDescent="0.25">
      <c r="A510" s="75"/>
      <c r="B510" s="75"/>
      <c r="C510" s="76"/>
      <c r="D510" s="76"/>
      <c r="E510" s="75"/>
      <c r="F510" s="75"/>
      <c r="G510" s="75"/>
      <c r="H510" s="75"/>
      <c r="I510" s="75"/>
      <c r="J510" s="75"/>
      <c r="K510" s="75"/>
      <c r="L510" s="75"/>
      <c r="M510" s="75"/>
      <c r="N510" s="75"/>
      <c r="O510" s="75"/>
      <c r="P510" s="75"/>
      <c r="Q510" s="75"/>
      <c r="R510" s="75"/>
      <c r="S510" s="75"/>
      <c r="T510" s="75"/>
      <c r="U510" s="75"/>
      <c r="V510" s="77"/>
      <c r="W510" s="75"/>
      <c r="X510" s="75"/>
      <c r="Y510" s="75"/>
      <c r="Z510" s="78"/>
      <c r="AA510" s="78"/>
      <c r="AB510" s="75"/>
      <c r="AJ510" s="72"/>
    </row>
    <row r="511" spans="1:36" s="69" customFormat="1" x14ac:dyDescent="0.25">
      <c r="A511" s="75"/>
      <c r="B511" s="75"/>
      <c r="C511" s="76"/>
      <c r="D511" s="76"/>
      <c r="E511" s="75"/>
      <c r="F511" s="75"/>
      <c r="G511" s="75"/>
      <c r="H511" s="75"/>
      <c r="I511" s="75"/>
      <c r="J511" s="75"/>
      <c r="K511" s="75"/>
      <c r="L511" s="75"/>
      <c r="M511" s="75"/>
      <c r="N511" s="75"/>
      <c r="O511" s="75"/>
      <c r="P511" s="75"/>
      <c r="Q511" s="75"/>
      <c r="R511" s="75"/>
      <c r="S511" s="75"/>
      <c r="T511" s="75"/>
      <c r="U511" s="75"/>
      <c r="V511" s="77"/>
      <c r="W511" s="75"/>
      <c r="X511" s="75"/>
      <c r="Y511" s="75"/>
      <c r="Z511" s="78"/>
      <c r="AA511" s="78"/>
      <c r="AB511" s="75"/>
      <c r="AJ511" s="72"/>
    </row>
    <row r="512" spans="1:36" s="69" customFormat="1" x14ac:dyDescent="0.25">
      <c r="A512" s="75"/>
      <c r="B512" s="75"/>
      <c r="C512" s="76"/>
      <c r="D512" s="76"/>
      <c r="E512" s="75"/>
      <c r="F512" s="75"/>
      <c r="G512" s="75"/>
      <c r="H512" s="75"/>
      <c r="I512" s="75"/>
      <c r="J512" s="75"/>
      <c r="K512" s="75"/>
      <c r="L512" s="75"/>
      <c r="M512" s="75"/>
      <c r="N512" s="75"/>
      <c r="O512" s="75"/>
      <c r="P512" s="75"/>
      <c r="Q512" s="75"/>
      <c r="R512" s="75"/>
      <c r="S512" s="75"/>
      <c r="T512" s="75"/>
      <c r="U512" s="75"/>
      <c r="V512" s="77"/>
      <c r="W512" s="75"/>
      <c r="X512" s="75"/>
      <c r="Y512" s="75"/>
      <c r="Z512" s="78"/>
      <c r="AA512" s="78"/>
      <c r="AB512" s="75"/>
      <c r="AJ512" s="72"/>
    </row>
    <row r="513" spans="1:36" s="69" customFormat="1" x14ac:dyDescent="0.25">
      <c r="A513" s="75"/>
      <c r="B513" s="75"/>
      <c r="C513" s="76"/>
      <c r="D513" s="76"/>
      <c r="E513" s="75"/>
      <c r="F513" s="75"/>
      <c r="G513" s="75"/>
      <c r="H513" s="75"/>
      <c r="I513" s="75"/>
      <c r="J513" s="75"/>
      <c r="K513" s="75"/>
      <c r="L513" s="75"/>
      <c r="M513" s="75"/>
      <c r="N513" s="75"/>
      <c r="O513" s="75"/>
      <c r="P513" s="75"/>
      <c r="Q513" s="75"/>
      <c r="R513" s="75"/>
      <c r="S513" s="75"/>
      <c r="T513" s="75"/>
      <c r="U513" s="75"/>
      <c r="V513" s="77"/>
      <c r="W513" s="75"/>
      <c r="X513" s="75"/>
      <c r="Y513" s="75"/>
      <c r="Z513" s="78"/>
      <c r="AA513" s="78"/>
      <c r="AB513" s="75"/>
      <c r="AJ513" s="72"/>
    </row>
    <row r="514" spans="1:36" s="69" customFormat="1" x14ac:dyDescent="0.25">
      <c r="A514" s="75"/>
      <c r="B514" s="75"/>
      <c r="C514" s="76"/>
      <c r="D514" s="76"/>
      <c r="E514" s="75"/>
      <c r="F514" s="75"/>
      <c r="G514" s="75"/>
      <c r="H514" s="75"/>
      <c r="I514" s="75"/>
      <c r="J514" s="75"/>
      <c r="K514" s="75"/>
      <c r="L514" s="75"/>
      <c r="M514" s="75"/>
      <c r="N514" s="75"/>
      <c r="O514" s="75"/>
      <c r="P514" s="75"/>
      <c r="Q514" s="75"/>
      <c r="R514" s="75"/>
      <c r="S514" s="75"/>
      <c r="T514" s="75"/>
      <c r="U514" s="75"/>
      <c r="V514" s="77"/>
      <c r="W514" s="75"/>
      <c r="X514" s="75"/>
      <c r="Y514" s="75"/>
      <c r="Z514" s="78"/>
      <c r="AA514" s="78"/>
      <c r="AB514" s="75"/>
      <c r="AJ514" s="72"/>
    </row>
    <row r="515" spans="1:36" s="69" customFormat="1" x14ac:dyDescent="0.25">
      <c r="A515" s="75"/>
      <c r="B515" s="75"/>
      <c r="C515" s="76"/>
      <c r="D515" s="76"/>
      <c r="E515" s="75"/>
      <c r="F515" s="75"/>
      <c r="G515" s="75"/>
      <c r="H515" s="75"/>
      <c r="I515" s="75"/>
      <c r="J515" s="75"/>
      <c r="K515" s="75"/>
      <c r="L515" s="75"/>
      <c r="M515" s="75"/>
      <c r="N515" s="75"/>
      <c r="O515" s="75"/>
      <c r="P515" s="75"/>
      <c r="Q515" s="75"/>
      <c r="R515" s="75"/>
      <c r="S515" s="75"/>
      <c r="T515" s="75"/>
      <c r="U515" s="75"/>
      <c r="V515" s="77"/>
      <c r="W515" s="75"/>
      <c r="X515" s="75"/>
      <c r="Y515" s="75"/>
      <c r="Z515" s="78"/>
      <c r="AA515" s="78"/>
      <c r="AB515" s="75"/>
      <c r="AJ515" s="72"/>
    </row>
    <row r="516" spans="1:36" s="69" customFormat="1" x14ac:dyDescent="0.25">
      <c r="A516" s="75"/>
      <c r="B516" s="75"/>
      <c r="C516" s="76"/>
      <c r="D516" s="76"/>
      <c r="E516" s="75"/>
      <c r="F516" s="75"/>
      <c r="G516" s="75"/>
      <c r="H516" s="75"/>
      <c r="I516" s="75"/>
      <c r="J516" s="75"/>
      <c r="K516" s="75"/>
      <c r="L516" s="75"/>
      <c r="M516" s="75"/>
      <c r="N516" s="75"/>
      <c r="O516" s="75"/>
      <c r="P516" s="75"/>
      <c r="Q516" s="75"/>
      <c r="R516" s="75"/>
      <c r="S516" s="75"/>
      <c r="T516" s="75"/>
      <c r="U516" s="75"/>
      <c r="V516" s="77"/>
      <c r="W516" s="75"/>
      <c r="X516" s="75"/>
      <c r="Y516" s="75"/>
      <c r="Z516" s="78"/>
      <c r="AA516" s="78"/>
      <c r="AB516" s="75"/>
      <c r="AJ516" s="72"/>
    </row>
    <row r="517" spans="1:36" s="69" customFormat="1" x14ac:dyDescent="0.25">
      <c r="A517" s="75"/>
      <c r="B517" s="75"/>
      <c r="C517" s="76"/>
      <c r="D517" s="76"/>
      <c r="E517" s="75"/>
      <c r="F517" s="75"/>
      <c r="G517" s="75"/>
      <c r="H517" s="75"/>
      <c r="I517" s="75"/>
      <c r="J517" s="75"/>
      <c r="K517" s="75"/>
      <c r="L517" s="75"/>
      <c r="M517" s="75"/>
      <c r="N517" s="75"/>
      <c r="O517" s="75"/>
      <c r="P517" s="75"/>
      <c r="Q517" s="75"/>
      <c r="R517" s="75"/>
      <c r="S517" s="75"/>
      <c r="T517" s="75"/>
      <c r="U517" s="75"/>
      <c r="V517" s="77"/>
      <c r="W517" s="75"/>
      <c r="X517" s="75"/>
      <c r="Y517" s="75"/>
      <c r="Z517" s="78"/>
      <c r="AA517" s="78"/>
      <c r="AB517" s="75"/>
      <c r="AJ517" s="72"/>
    </row>
    <row r="518" spans="1:36" s="69" customFormat="1" x14ac:dyDescent="0.25">
      <c r="A518" s="75"/>
      <c r="B518" s="75"/>
      <c r="C518" s="76"/>
      <c r="D518" s="76"/>
      <c r="E518" s="75"/>
      <c r="F518" s="75"/>
      <c r="G518" s="75"/>
      <c r="H518" s="75"/>
      <c r="I518" s="75"/>
      <c r="J518" s="75"/>
      <c r="K518" s="75"/>
      <c r="L518" s="75"/>
      <c r="M518" s="75"/>
      <c r="N518" s="75"/>
      <c r="O518" s="75"/>
      <c r="P518" s="75"/>
      <c r="Q518" s="75"/>
      <c r="R518" s="75"/>
      <c r="S518" s="75"/>
      <c r="T518" s="75"/>
      <c r="U518" s="75"/>
      <c r="V518" s="77"/>
      <c r="W518" s="75"/>
      <c r="X518" s="75"/>
      <c r="Y518" s="75"/>
      <c r="Z518" s="78"/>
      <c r="AA518" s="78"/>
      <c r="AB518" s="75"/>
      <c r="AJ518" s="72"/>
    </row>
    <row r="519" spans="1:36" s="69" customFormat="1" x14ac:dyDescent="0.25">
      <c r="A519" s="75"/>
      <c r="B519" s="75"/>
      <c r="C519" s="76"/>
      <c r="D519" s="76"/>
      <c r="E519" s="75"/>
      <c r="F519" s="75"/>
      <c r="G519" s="75"/>
      <c r="H519" s="75"/>
      <c r="I519" s="75"/>
      <c r="J519" s="75"/>
      <c r="K519" s="75"/>
      <c r="L519" s="75"/>
      <c r="M519" s="75"/>
      <c r="N519" s="75"/>
      <c r="O519" s="75"/>
      <c r="P519" s="75"/>
      <c r="Q519" s="75"/>
      <c r="R519" s="75"/>
      <c r="S519" s="75"/>
      <c r="T519" s="75"/>
      <c r="U519" s="75"/>
      <c r="V519" s="77"/>
      <c r="W519" s="75"/>
      <c r="X519" s="75"/>
      <c r="Y519" s="75"/>
      <c r="Z519" s="78"/>
      <c r="AA519" s="78"/>
      <c r="AB519" s="75"/>
      <c r="AJ519" s="72"/>
    </row>
    <row r="520" spans="1:36" s="69" customFormat="1" x14ac:dyDescent="0.25">
      <c r="A520" s="75"/>
      <c r="B520" s="75"/>
      <c r="C520" s="76"/>
      <c r="D520" s="76"/>
      <c r="E520" s="75"/>
      <c r="F520" s="75"/>
      <c r="G520" s="75"/>
      <c r="H520" s="75"/>
      <c r="I520" s="75"/>
      <c r="J520" s="75"/>
      <c r="K520" s="75"/>
      <c r="L520" s="75"/>
      <c r="M520" s="75"/>
      <c r="N520" s="75"/>
      <c r="O520" s="75"/>
      <c r="P520" s="75"/>
      <c r="Q520" s="75"/>
      <c r="R520" s="75"/>
      <c r="S520" s="75"/>
      <c r="T520" s="75"/>
      <c r="U520" s="75"/>
      <c r="V520" s="77"/>
      <c r="W520" s="75"/>
      <c r="X520" s="75"/>
      <c r="Y520" s="75"/>
      <c r="Z520" s="78"/>
      <c r="AA520" s="78"/>
      <c r="AB520" s="75"/>
      <c r="AJ520" s="72"/>
    </row>
    <row r="521" spans="1:36" s="69" customFormat="1" x14ac:dyDescent="0.25">
      <c r="A521" s="75"/>
      <c r="B521" s="75"/>
      <c r="C521" s="76"/>
      <c r="D521" s="76"/>
      <c r="E521" s="75"/>
      <c r="F521" s="75"/>
      <c r="G521" s="75"/>
      <c r="H521" s="75"/>
      <c r="I521" s="75"/>
      <c r="J521" s="75"/>
      <c r="K521" s="75"/>
      <c r="L521" s="75"/>
      <c r="M521" s="75"/>
      <c r="N521" s="75"/>
      <c r="O521" s="75"/>
      <c r="P521" s="75"/>
      <c r="Q521" s="75"/>
      <c r="R521" s="75"/>
      <c r="S521" s="75"/>
      <c r="T521" s="75"/>
      <c r="U521" s="75"/>
      <c r="V521" s="77"/>
      <c r="W521" s="75"/>
      <c r="X521" s="75"/>
      <c r="Y521" s="75"/>
      <c r="Z521" s="78"/>
      <c r="AA521" s="78"/>
      <c r="AB521" s="75"/>
      <c r="AJ521" s="72"/>
    </row>
    <row r="522" spans="1:36" s="69" customFormat="1" x14ac:dyDescent="0.25">
      <c r="A522" s="75"/>
      <c r="B522" s="75"/>
      <c r="C522" s="76"/>
      <c r="D522" s="76"/>
      <c r="E522" s="75"/>
      <c r="F522" s="75"/>
      <c r="G522" s="75"/>
      <c r="H522" s="75"/>
      <c r="I522" s="75"/>
      <c r="J522" s="75"/>
      <c r="K522" s="75"/>
      <c r="L522" s="75"/>
      <c r="M522" s="75"/>
      <c r="N522" s="75"/>
      <c r="O522" s="75"/>
      <c r="P522" s="75"/>
      <c r="Q522" s="75"/>
      <c r="R522" s="75"/>
      <c r="S522" s="75"/>
      <c r="T522" s="75"/>
      <c r="U522" s="75"/>
      <c r="V522" s="77"/>
      <c r="W522" s="75"/>
      <c r="X522" s="75"/>
      <c r="Y522" s="75"/>
      <c r="Z522" s="78"/>
      <c r="AA522" s="78"/>
      <c r="AB522" s="75"/>
      <c r="AJ522" s="72"/>
    </row>
    <row r="523" spans="1:36" s="69" customFormat="1" x14ac:dyDescent="0.25">
      <c r="A523" s="75"/>
      <c r="B523" s="75"/>
      <c r="C523" s="76"/>
      <c r="D523" s="76"/>
      <c r="E523" s="75"/>
      <c r="F523" s="75"/>
      <c r="G523" s="75"/>
      <c r="H523" s="75"/>
      <c r="I523" s="75"/>
      <c r="J523" s="75"/>
      <c r="K523" s="75"/>
      <c r="L523" s="75"/>
      <c r="M523" s="75"/>
      <c r="N523" s="75"/>
      <c r="O523" s="75"/>
      <c r="P523" s="75"/>
      <c r="Q523" s="75"/>
      <c r="R523" s="75"/>
      <c r="S523" s="75"/>
      <c r="T523" s="75"/>
      <c r="U523" s="75"/>
      <c r="V523" s="77"/>
      <c r="W523" s="75"/>
      <c r="X523" s="75"/>
      <c r="Y523" s="75"/>
      <c r="Z523" s="78"/>
      <c r="AA523" s="78"/>
      <c r="AB523" s="75"/>
      <c r="AJ523" s="72"/>
    </row>
    <row r="524" spans="1:36" s="69" customFormat="1" x14ac:dyDescent="0.25">
      <c r="A524" s="75"/>
      <c r="B524" s="75"/>
      <c r="C524" s="76"/>
      <c r="D524" s="76"/>
      <c r="E524" s="75"/>
      <c r="F524" s="75"/>
      <c r="G524" s="75"/>
      <c r="H524" s="75"/>
      <c r="I524" s="75"/>
      <c r="J524" s="75"/>
      <c r="K524" s="75"/>
      <c r="L524" s="75"/>
      <c r="M524" s="75"/>
      <c r="N524" s="75"/>
      <c r="O524" s="75"/>
      <c r="P524" s="75"/>
      <c r="Q524" s="75"/>
      <c r="R524" s="75"/>
      <c r="S524" s="75"/>
      <c r="T524" s="75"/>
      <c r="U524" s="75"/>
      <c r="V524" s="77"/>
      <c r="W524" s="75"/>
      <c r="X524" s="75"/>
      <c r="Y524" s="75"/>
      <c r="Z524" s="78"/>
      <c r="AA524" s="78"/>
      <c r="AB524" s="75"/>
      <c r="AJ524" s="72"/>
    </row>
    <row r="525" spans="1:36" s="69" customFormat="1" x14ac:dyDescent="0.25">
      <c r="A525" s="75"/>
      <c r="B525" s="75"/>
      <c r="C525" s="76"/>
      <c r="D525" s="76"/>
      <c r="E525" s="75"/>
      <c r="F525" s="75"/>
      <c r="G525" s="75"/>
      <c r="H525" s="75"/>
      <c r="I525" s="75"/>
      <c r="J525" s="75"/>
      <c r="K525" s="75"/>
      <c r="L525" s="75"/>
      <c r="M525" s="75"/>
      <c r="N525" s="75"/>
      <c r="O525" s="75"/>
      <c r="P525" s="75"/>
      <c r="Q525" s="75"/>
      <c r="R525" s="75"/>
      <c r="S525" s="75"/>
      <c r="T525" s="75"/>
      <c r="U525" s="75"/>
      <c r="V525" s="77"/>
      <c r="W525" s="75"/>
      <c r="X525" s="75"/>
      <c r="Y525" s="75"/>
      <c r="Z525" s="78"/>
      <c r="AA525" s="78"/>
      <c r="AB525" s="75"/>
      <c r="AJ525" s="72"/>
    </row>
    <row r="526" spans="1:36" s="69" customFormat="1" x14ac:dyDescent="0.25">
      <c r="A526" s="75"/>
      <c r="B526" s="75"/>
      <c r="C526" s="76"/>
      <c r="D526" s="76"/>
      <c r="E526" s="75"/>
      <c r="F526" s="75"/>
      <c r="G526" s="75"/>
      <c r="H526" s="75"/>
      <c r="I526" s="75"/>
      <c r="J526" s="75"/>
      <c r="K526" s="75"/>
      <c r="L526" s="75"/>
      <c r="M526" s="75"/>
      <c r="N526" s="75"/>
      <c r="O526" s="75"/>
      <c r="P526" s="75"/>
      <c r="Q526" s="75"/>
      <c r="R526" s="75"/>
      <c r="S526" s="75"/>
      <c r="T526" s="75"/>
      <c r="U526" s="75"/>
      <c r="V526" s="77"/>
      <c r="W526" s="75"/>
      <c r="X526" s="75"/>
      <c r="Y526" s="75"/>
      <c r="Z526" s="78"/>
      <c r="AA526" s="78"/>
      <c r="AB526" s="75"/>
      <c r="AJ526" s="72"/>
    </row>
    <row r="527" spans="1:36" s="69" customFormat="1" x14ac:dyDescent="0.25">
      <c r="A527" s="75"/>
      <c r="B527" s="75"/>
      <c r="C527" s="76"/>
      <c r="D527" s="76"/>
      <c r="E527" s="75"/>
      <c r="F527" s="75"/>
      <c r="G527" s="75"/>
      <c r="H527" s="75"/>
      <c r="I527" s="75"/>
      <c r="J527" s="75"/>
      <c r="K527" s="75"/>
      <c r="L527" s="75"/>
      <c r="M527" s="75"/>
      <c r="N527" s="75"/>
      <c r="O527" s="75"/>
      <c r="P527" s="75"/>
      <c r="Q527" s="75"/>
      <c r="R527" s="75"/>
      <c r="S527" s="75"/>
      <c r="T527" s="75"/>
      <c r="U527" s="75"/>
      <c r="V527" s="77"/>
      <c r="W527" s="75"/>
      <c r="X527" s="75"/>
      <c r="Y527" s="75"/>
      <c r="Z527" s="78"/>
      <c r="AA527" s="78"/>
      <c r="AB527" s="75"/>
      <c r="AJ527" s="72"/>
    </row>
    <row r="528" spans="1:36" s="69" customFormat="1" x14ac:dyDescent="0.25">
      <c r="A528" s="75"/>
      <c r="B528" s="75"/>
      <c r="C528" s="76"/>
      <c r="D528" s="76"/>
      <c r="E528" s="75"/>
      <c r="F528" s="75"/>
      <c r="G528" s="75"/>
      <c r="H528" s="75"/>
      <c r="I528" s="75"/>
      <c r="J528" s="75"/>
      <c r="K528" s="75"/>
      <c r="L528" s="75"/>
      <c r="M528" s="75"/>
      <c r="N528" s="75"/>
      <c r="O528" s="75"/>
      <c r="P528" s="75"/>
      <c r="Q528" s="75"/>
      <c r="R528" s="75"/>
      <c r="S528" s="75"/>
      <c r="T528" s="75"/>
      <c r="U528" s="75"/>
      <c r="V528" s="77"/>
      <c r="W528" s="75"/>
      <c r="X528" s="75"/>
      <c r="Y528" s="75"/>
      <c r="Z528" s="78"/>
      <c r="AA528" s="78"/>
      <c r="AB528" s="75"/>
      <c r="AJ528" s="72"/>
    </row>
    <row r="529" spans="1:36" s="69" customFormat="1" x14ac:dyDescent="0.25">
      <c r="A529" s="75"/>
      <c r="B529" s="75"/>
      <c r="C529" s="76"/>
      <c r="D529" s="76"/>
      <c r="E529" s="75"/>
      <c r="F529" s="75"/>
      <c r="G529" s="75"/>
      <c r="H529" s="75"/>
      <c r="I529" s="75"/>
      <c r="J529" s="75"/>
      <c r="K529" s="75"/>
      <c r="L529" s="75"/>
      <c r="M529" s="75"/>
      <c r="N529" s="75"/>
      <c r="O529" s="75"/>
      <c r="P529" s="75"/>
      <c r="Q529" s="75"/>
      <c r="R529" s="75"/>
      <c r="S529" s="75"/>
      <c r="T529" s="75"/>
      <c r="U529" s="75"/>
      <c r="V529" s="77"/>
      <c r="W529" s="75"/>
      <c r="X529" s="75"/>
      <c r="Y529" s="75"/>
      <c r="Z529" s="78"/>
      <c r="AA529" s="78"/>
      <c r="AB529" s="75"/>
      <c r="AJ529" s="72"/>
    </row>
    <row r="530" spans="1:36" s="69" customFormat="1" x14ac:dyDescent="0.25">
      <c r="A530" s="75"/>
      <c r="B530" s="75"/>
      <c r="C530" s="76"/>
      <c r="D530" s="76"/>
      <c r="E530" s="75"/>
      <c r="F530" s="75"/>
      <c r="G530" s="75"/>
      <c r="H530" s="75"/>
      <c r="I530" s="75"/>
      <c r="J530" s="75"/>
      <c r="K530" s="75"/>
      <c r="L530" s="75"/>
      <c r="M530" s="75"/>
      <c r="N530" s="75"/>
      <c r="O530" s="75"/>
      <c r="P530" s="75"/>
      <c r="Q530" s="75"/>
      <c r="R530" s="75"/>
      <c r="S530" s="75"/>
      <c r="T530" s="75"/>
      <c r="U530" s="75"/>
      <c r="V530" s="77"/>
      <c r="W530" s="75"/>
      <c r="X530" s="75"/>
      <c r="Y530" s="75"/>
      <c r="Z530" s="78"/>
      <c r="AA530" s="78"/>
      <c r="AB530" s="75"/>
      <c r="AJ530" s="72"/>
    </row>
    <row r="531" spans="1:36" s="69" customFormat="1" x14ac:dyDescent="0.25">
      <c r="A531" s="75"/>
      <c r="B531" s="75"/>
      <c r="C531" s="76"/>
      <c r="D531" s="76"/>
      <c r="E531" s="75"/>
      <c r="F531" s="75"/>
      <c r="G531" s="75"/>
      <c r="H531" s="75"/>
      <c r="I531" s="75"/>
      <c r="J531" s="75"/>
      <c r="K531" s="75"/>
      <c r="L531" s="75"/>
      <c r="M531" s="75"/>
      <c r="N531" s="75"/>
      <c r="O531" s="75"/>
      <c r="P531" s="75"/>
      <c r="Q531" s="75"/>
      <c r="R531" s="75"/>
      <c r="S531" s="75"/>
      <c r="T531" s="75"/>
      <c r="U531" s="75"/>
      <c r="V531" s="77"/>
      <c r="W531" s="75"/>
      <c r="X531" s="75"/>
      <c r="Y531" s="75"/>
      <c r="Z531" s="78"/>
      <c r="AA531" s="78"/>
      <c r="AB531" s="75"/>
      <c r="AJ531" s="72"/>
    </row>
    <row r="532" spans="1:36" s="69" customFormat="1" x14ac:dyDescent="0.25">
      <c r="A532" s="75"/>
      <c r="B532" s="75"/>
      <c r="C532" s="76"/>
      <c r="D532" s="76"/>
      <c r="E532" s="75"/>
      <c r="F532" s="75"/>
      <c r="G532" s="75"/>
      <c r="H532" s="75"/>
      <c r="I532" s="75"/>
      <c r="J532" s="75"/>
      <c r="K532" s="75"/>
      <c r="L532" s="75"/>
      <c r="M532" s="75"/>
      <c r="N532" s="75"/>
      <c r="O532" s="75"/>
      <c r="P532" s="75"/>
      <c r="Q532" s="75"/>
      <c r="R532" s="75"/>
      <c r="S532" s="75"/>
      <c r="T532" s="75"/>
      <c r="U532" s="75"/>
      <c r="V532" s="77"/>
      <c r="W532" s="75"/>
      <c r="X532" s="75"/>
      <c r="Y532" s="75"/>
      <c r="Z532" s="78"/>
      <c r="AA532" s="78"/>
      <c r="AB532" s="75"/>
      <c r="AJ532" s="72"/>
    </row>
    <row r="533" spans="1:36" s="69" customFormat="1" x14ac:dyDescent="0.25">
      <c r="A533" s="75"/>
      <c r="B533" s="75"/>
      <c r="C533" s="76"/>
      <c r="D533" s="76"/>
      <c r="E533" s="75"/>
      <c r="F533" s="75"/>
      <c r="G533" s="75"/>
      <c r="H533" s="75"/>
      <c r="I533" s="75"/>
      <c r="J533" s="75"/>
      <c r="K533" s="75"/>
      <c r="L533" s="75"/>
      <c r="M533" s="75"/>
      <c r="N533" s="75"/>
      <c r="O533" s="75"/>
      <c r="P533" s="75"/>
      <c r="Q533" s="75"/>
      <c r="R533" s="75"/>
      <c r="S533" s="75"/>
      <c r="T533" s="75"/>
      <c r="U533" s="75"/>
      <c r="V533" s="77"/>
      <c r="W533" s="75"/>
      <c r="X533" s="75"/>
      <c r="Y533" s="75"/>
      <c r="Z533" s="78"/>
      <c r="AA533" s="78"/>
      <c r="AB533" s="75"/>
      <c r="AJ533" s="72"/>
    </row>
    <row r="534" spans="1:36" s="69" customFormat="1" x14ac:dyDescent="0.25">
      <c r="A534" s="75"/>
      <c r="B534" s="75"/>
      <c r="C534" s="76"/>
      <c r="D534" s="76"/>
      <c r="E534" s="75"/>
      <c r="F534" s="75"/>
      <c r="G534" s="75"/>
      <c r="H534" s="75"/>
      <c r="I534" s="75"/>
      <c r="J534" s="75"/>
      <c r="K534" s="75"/>
      <c r="L534" s="75"/>
      <c r="M534" s="75"/>
      <c r="N534" s="75"/>
      <c r="O534" s="75"/>
      <c r="P534" s="75"/>
      <c r="Q534" s="75"/>
      <c r="R534" s="75"/>
      <c r="S534" s="75"/>
      <c r="T534" s="75"/>
      <c r="U534" s="75"/>
      <c r="V534" s="77"/>
      <c r="W534" s="75"/>
      <c r="X534" s="75"/>
      <c r="Y534" s="75"/>
      <c r="Z534" s="78"/>
      <c r="AA534" s="78"/>
      <c r="AB534" s="75"/>
      <c r="AJ534" s="72"/>
    </row>
    <row r="535" spans="1:36" s="69" customFormat="1" x14ac:dyDescent="0.25">
      <c r="A535" s="75"/>
      <c r="B535" s="75"/>
      <c r="C535" s="76"/>
      <c r="D535" s="76"/>
      <c r="E535" s="75"/>
      <c r="F535" s="75"/>
      <c r="G535" s="75"/>
      <c r="H535" s="75"/>
      <c r="I535" s="75"/>
      <c r="J535" s="75"/>
      <c r="K535" s="75"/>
      <c r="L535" s="75"/>
      <c r="M535" s="75"/>
      <c r="N535" s="75"/>
      <c r="O535" s="75"/>
      <c r="P535" s="75"/>
      <c r="Q535" s="75"/>
      <c r="R535" s="75"/>
      <c r="S535" s="75"/>
      <c r="T535" s="75"/>
      <c r="U535" s="75"/>
      <c r="V535" s="77"/>
      <c r="W535" s="75"/>
      <c r="X535" s="75"/>
      <c r="Y535" s="75"/>
      <c r="Z535" s="78"/>
      <c r="AA535" s="78"/>
      <c r="AB535" s="75"/>
      <c r="AJ535" s="72"/>
    </row>
    <row r="536" spans="1:36" s="69" customFormat="1" x14ac:dyDescent="0.25">
      <c r="A536" s="75"/>
      <c r="B536" s="75"/>
      <c r="C536" s="76"/>
      <c r="D536" s="76"/>
      <c r="E536" s="75"/>
      <c r="F536" s="75"/>
      <c r="G536" s="75"/>
      <c r="H536" s="75"/>
      <c r="I536" s="75"/>
      <c r="J536" s="75"/>
      <c r="K536" s="75"/>
      <c r="L536" s="75"/>
      <c r="M536" s="75"/>
      <c r="N536" s="75"/>
      <c r="O536" s="75"/>
      <c r="P536" s="75"/>
      <c r="Q536" s="75"/>
      <c r="R536" s="75"/>
      <c r="S536" s="75"/>
      <c r="T536" s="75"/>
      <c r="U536" s="75"/>
      <c r="V536" s="77"/>
      <c r="W536" s="75"/>
      <c r="X536" s="75"/>
      <c r="Y536" s="75"/>
      <c r="Z536" s="78"/>
      <c r="AA536" s="78"/>
      <c r="AB536" s="75"/>
      <c r="AJ536" s="72"/>
    </row>
    <row r="537" spans="1:36" s="69" customFormat="1" x14ac:dyDescent="0.25">
      <c r="A537" s="75"/>
      <c r="B537" s="75"/>
      <c r="C537" s="76"/>
      <c r="D537" s="76"/>
      <c r="E537" s="75"/>
      <c r="F537" s="75"/>
      <c r="G537" s="75"/>
      <c r="H537" s="75"/>
      <c r="I537" s="75"/>
      <c r="J537" s="75"/>
      <c r="K537" s="75"/>
      <c r="L537" s="75"/>
      <c r="M537" s="75"/>
      <c r="N537" s="75"/>
      <c r="O537" s="75"/>
      <c r="P537" s="75"/>
      <c r="Q537" s="75"/>
      <c r="R537" s="75"/>
      <c r="S537" s="75"/>
      <c r="T537" s="75"/>
      <c r="U537" s="75"/>
      <c r="V537" s="77"/>
      <c r="W537" s="75"/>
      <c r="X537" s="75"/>
      <c r="Y537" s="75"/>
      <c r="Z537" s="78"/>
      <c r="AA537" s="78"/>
      <c r="AB537" s="75"/>
      <c r="AJ537" s="72"/>
    </row>
    <row r="538" spans="1:36" s="69" customFormat="1" x14ac:dyDescent="0.25">
      <c r="A538" s="75"/>
      <c r="B538" s="75"/>
      <c r="C538" s="76"/>
      <c r="D538" s="76"/>
      <c r="E538" s="75"/>
      <c r="F538" s="75"/>
      <c r="G538" s="75"/>
      <c r="H538" s="75"/>
      <c r="I538" s="75"/>
      <c r="J538" s="75"/>
      <c r="K538" s="75"/>
      <c r="L538" s="75"/>
      <c r="M538" s="75"/>
      <c r="N538" s="75"/>
      <c r="O538" s="75"/>
      <c r="P538" s="75"/>
      <c r="Q538" s="75"/>
      <c r="R538" s="75"/>
      <c r="S538" s="75"/>
      <c r="T538" s="75"/>
      <c r="U538" s="75"/>
      <c r="V538" s="77"/>
      <c r="W538" s="75"/>
      <c r="X538" s="75"/>
      <c r="Y538" s="75"/>
      <c r="Z538" s="78"/>
      <c r="AA538" s="78"/>
      <c r="AB538" s="75"/>
      <c r="AJ538" s="72"/>
    </row>
    <row r="539" spans="1:36" s="69" customFormat="1" x14ac:dyDescent="0.25">
      <c r="A539" s="75"/>
      <c r="B539" s="75"/>
      <c r="C539" s="76"/>
      <c r="D539" s="76"/>
      <c r="E539" s="75"/>
      <c r="F539" s="75"/>
      <c r="G539" s="75"/>
      <c r="H539" s="75"/>
      <c r="I539" s="75"/>
      <c r="J539" s="75"/>
      <c r="K539" s="75"/>
      <c r="L539" s="75"/>
      <c r="M539" s="75"/>
      <c r="N539" s="75"/>
      <c r="O539" s="75"/>
      <c r="P539" s="75"/>
      <c r="Q539" s="75"/>
      <c r="R539" s="75"/>
      <c r="S539" s="75"/>
      <c r="T539" s="75"/>
      <c r="U539" s="75"/>
      <c r="V539" s="77"/>
      <c r="W539" s="75"/>
      <c r="X539" s="75"/>
      <c r="Y539" s="75"/>
      <c r="Z539" s="78"/>
      <c r="AA539" s="78"/>
      <c r="AB539" s="75"/>
      <c r="AJ539" s="72"/>
    </row>
    <row r="540" spans="1:36" s="69" customFormat="1" x14ac:dyDescent="0.25">
      <c r="A540" s="75"/>
      <c r="B540" s="75"/>
      <c r="C540" s="76"/>
      <c r="D540" s="76"/>
      <c r="E540" s="75"/>
      <c r="F540" s="75"/>
      <c r="G540" s="75"/>
      <c r="H540" s="75"/>
      <c r="I540" s="75"/>
      <c r="J540" s="75"/>
      <c r="K540" s="75"/>
      <c r="L540" s="75"/>
      <c r="M540" s="75"/>
      <c r="N540" s="75"/>
      <c r="O540" s="75"/>
      <c r="P540" s="75"/>
      <c r="Q540" s="75"/>
      <c r="R540" s="75"/>
      <c r="S540" s="75"/>
      <c r="T540" s="75"/>
      <c r="U540" s="75"/>
      <c r="V540" s="77"/>
      <c r="W540" s="75"/>
      <c r="X540" s="75"/>
      <c r="Y540" s="75"/>
      <c r="Z540" s="78"/>
      <c r="AA540" s="78"/>
      <c r="AB540" s="75"/>
      <c r="AJ540" s="72"/>
    </row>
    <row r="541" spans="1:36" s="69" customFormat="1" x14ac:dyDescent="0.25">
      <c r="A541" s="75"/>
      <c r="B541" s="75"/>
      <c r="C541" s="76"/>
      <c r="D541" s="76"/>
      <c r="E541" s="75"/>
      <c r="F541" s="75"/>
      <c r="G541" s="75"/>
      <c r="H541" s="75"/>
      <c r="I541" s="75"/>
      <c r="J541" s="75"/>
      <c r="K541" s="75"/>
      <c r="L541" s="75"/>
      <c r="M541" s="75"/>
      <c r="N541" s="75"/>
      <c r="O541" s="75"/>
      <c r="P541" s="75"/>
      <c r="Q541" s="75"/>
      <c r="R541" s="75"/>
      <c r="S541" s="75"/>
      <c r="T541" s="75"/>
      <c r="U541" s="75"/>
      <c r="V541" s="77"/>
      <c r="W541" s="75"/>
      <c r="X541" s="75"/>
      <c r="Y541" s="75"/>
      <c r="Z541" s="78"/>
      <c r="AA541" s="78"/>
      <c r="AB541" s="75"/>
      <c r="AJ541" s="72"/>
    </row>
    <row r="542" spans="1:36" s="69" customFormat="1" x14ac:dyDescent="0.25">
      <c r="A542" s="75"/>
      <c r="B542" s="75"/>
      <c r="C542" s="76"/>
      <c r="D542" s="76"/>
      <c r="E542" s="75"/>
      <c r="F542" s="75"/>
      <c r="G542" s="75"/>
      <c r="H542" s="75"/>
      <c r="I542" s="75"/>
      <c r="J542" s="75"/>
      <c r="K542" s="75"/>
      <c r="L542" s="75"/>
      <c r="M542" s="75"/>
      <c r="N542" s="75"/>
      <c r="O542" s="75"/>
      <c r="P542" s="75"/>
      <c r="Q542" s="75"/>
      <c r="R542" s="75"/>
      <c r="S542" s="75"/>
      <c r="T542" s="75"/>
      <c r="U542" s="75"/>
      <c r="V542" s="77"/>
      <c r="W542" s="75"/>
      <c r="X542" s="75"/>
      <c r="Y542" s="75"/>
      <c r="Z542" s="78"/>
      <c r="AA542" s="78"/>
      <c r="AB542" s="75"/>
      <c r="AJ542" s="72"/>
    </row>
    <row r="543" spans="1:36" s="69" customFormat="1" x14ac:dyDescent="0.25">
      <c r="A543" s="75"/>
      <c r="B543" s="75"/>
      <c r="C543" s="76"/>
      <c r="D543" s="76"/>
      <c r="E543" s="75"/>
      <c r="F543" s="75"/>
      <c r="G543" s="75"/>
      <c r="H543" s="75"/>
      <c r="I543" s="75"/>
      <c r="J543" s="75"/>
      <c r="K543" s="75"/>
      <c r="L543" s="75"/>
      <c r="M543" s="75"/>
      <c r="N543" s="75"/>
      <c r="O543" s="75"/>
      <c r="P543" s="75"/>
      <c r="Q543" s="75"/>
      <c r="R543" s="75"/>
      <c r="S543" s="75"/>
      <c r="T543" s="75"/>
      <c r="U543" s="75"/>
      <c r="V543" s="77"/>
      <c r="W543" s="75"/>
      <c r="X543" s="75"/>
      <c r="Y543" s="75"/>
      <c r="Z543" s="78"/>
      <c r="AA543" s="78"/>
      <c r="AB543" s="75"/>
      <c r="AJ543" s="72"/>
    </row>
    <row r="544" spans="1:36" s="69" customFormat="1" x14ac:dyDescent="0.25">
      <c r="A544" s="75"/>
      <c r="B544" s="75"/>
      <c r="C544" s="76"/>
      <c r="D544" s="76"/>
      <c r="E544" s="75"/>
      <c r="F544" s="75"/>
      <c r="G544" s="75"/>
      <c r="H544" s="75"/>
      <c r="I544" s="75"/>
      <c r="J544" s="75"/>
      <c r="K544" s="75"/>
      <c r="L544" s="75"/>
      <c r="M544" s="75"/>
      <c r="N544" s="75"/>
      <c r="O544" s="75"/>
      <c r="P544" s="75"/>
      <c r="Q544" s="75"/>
      <c r="R544" s="75"/>
      <c r="S544" s="75"/>
      <c r="T544" s="75"/>
      <c r="U544" s="75"/>
      <c r="V544" s="77"/>
      <c r="W544" s="75"/>
      <c r="X544" s="75"/>
      <c r="Y544" s="75"/>
      <c r="Z544" s="78"/>
      <c r="AA544" s="78"/>
      <c r="AB544" s="75"/>
      <c r="AJ544" s="72"/>
    </row>
    <row r="545" spans="1:36" s="69" customFormat="1" x14ac:dyDescent="0.25">
      <c r="A545" s="75"/>
      <c r="B545" s="75"/>
      <c r="C545" s="76"/>
      <c r="D545" s="76"/>
      <c r="E545" s="75"/>
      <c r="F545" s="75"/>
      <c r="G545" s="75"/>
      <c r="H545" s="75"/>
      <c r="I545" s="75"/>
      <c r="J545" s="75"/>
      <c r="K545" s="75"/>
      <c r="L545" s="75"/>
      <c r="M545" s="75"/>
      <c r="N545" s="75"/>
      <c r="O545" s="75"/>
      <c r="P545" s="75"/>
      <c r="Q545" s="75"/>
      <c r="R545" s="75"/>
      <c r="S545" s="75"/>
      <c r="T545" s="75"/>
      <c r="U545" s="75"/>
      <c r="V545" s="77"/>
      <c r="W545" s="75"/>
      <c r="X545" s="75"/>
      <c r="Y545" s="75"/>
      <c r="Z545" s="78"/>
      <c r="AA545" s="78"/>
      <c r="AB545" s="75"/>
      <c r="AJ545" s="72"/>
    </row>
    <row r="546" spans="1:36" s="69" customFormat="1" x14ac:dyDescent="0.25">
      <c r="A546" s="75"/>
      <c r="B546" s="75"/>
      <c r="C546" s="76"/>
      <c r="D546" s="76"/>
      <c r="E546" s="75"/>
      <c r="F546" s="75"/>
      <c r="G546" s="75"/>
      <c r="H546" s="75"/>
      <c r="I546" s="75"/>
      <c r="J546" s="75"/>
      <c r="K546" s="75"/>
      <c r="L546" s="75"/>
      <c r="M546" s="75"/>
      <c r="N546" s="75"/>
      <c r="O546" s="75"/>
      <c r="P546" s="75"/>
      <c r="Q546" s="75"/>
      <c r="R546" s="75"/>
      <c r="S546" s="75"/>
      <c r="T546" s="75"/>
      <c r="U546" s="75"/>
      <c r="V546" s="77"/>
      <c r="W546" s="75"/>
      <c r="X546" s="75"/>
      <c r="Y546" s="75"/>
      <c r="Z546" s="78"/>
      <c r="AA546" s="78"/>
      <c r="AB546" s="75"/>
      <c r="AJ546" s="72"/>
    </row>
    <row r="547" spans="1:36" s="69" customFormat="1" x14ac:dyDescent="0.25">
      <c r="A547" s="75"/>
      <c r="B547" s="75"/>
      <c r="C547" s="76"/>
      <c r="D547" s="76"/>
      <c r="E547" s="75"/>
      <c r="F547" s="75"/>
      <c r="G547" s="75"/>
      <c r="H547" s="75"/>
      <c r="I547" s="75"/>
      <c r="J547" s="75"/>
      <c r="K547" s="75"/>
      <c r="L547" s="75"/>
      <c r="M547" s="75"/>
      <c r="N547" s="75"/>
      <c r="O547" s="75"/>
      <c r="P547" s="75"/>
      <c r="Q547" s="75"/>
      <c r="R547" s="75"/>
      <c r="S547" s="75"/>
      <c r="T547" s="75"/>
      <c r="U547" s="75"/>
      <c r="V547" s="77"/>
      <c r="W547" s="75"/>
      <c r="X547" s="75"/>
      <c r="Y547" s="75"/>
      <c r="Z547" s="78"/>
      <c r="AA547" s="78"/>
      <c r="AB547" s="75"/>
      <c r="AJ547" s="72"/>
    </row>
    <row r="548" spans="1:36" s="69" customFormat="1" x14ac:dyDescent="0.25">
      <c r="A548" s="75"/>
      <c r="B548" s="75"/>
      <c r="C548" s="76"/>
      <c r="D548" s="76"/>
      <c r="E548" s="75"/>
      <c r="F548" s="75"/>
      <c r="G548" s="75"/>
      <c r="H548" s="75"/>
      <c r="I548" s="75"/>
      <c r="J548" s="75"/>
      <c r="K548" s="75"/>
      <c r="L548" s="75"/>
      <c r="M548" s="75"/>
      <c r="N548" s="75"/>
      <c r="O548" s="75"/>
      <c r="P548" s="75"/>
      <c r="Q548" s="75"/>
      <c r="R548" s="75"/>
      <c r="S548" s="75"/>
      <c r="T548" s="75"/>
      <c r="U548" s="75"/>
      <c r="V548" s="77"/>
      <c r="W548" s="75"/>
      <c r="X548" s="75"/>
      <c r="Y548" s="75"/>
      <c r="Z548" s="78"/>
      <c r="AA548" s="78"/>
      <c r="AB548" s="75"/>
      <c r="AJ548" s="72"/>
    </row>
    <row r="549" spans="1:36" s="69" customFormat="1" x14ac:dyDescent="0.25">
      <c r="A549" s="75"/>
      <c r="B549" s="75"/>
      <c r="C549" s="76"/>
      <c r="D549" s="76"/>
      <c r="E549" s="75"/>
      <c r="F549" s="75"/>
      <c r="G549" s="75"/>
      <c r="H549" s="75"/>
      <c r="I549" s="75"/>
      <c r="J549" s="75"/>
      <c r="K549" s="75"/>
      <c r="L549" s="75"/>
      <c r="M549" s="75"/>
      <c r="N549" s="75"/>
      <c r="O549" s="75"/>
      <c r="P549" s="75"/>
      <c r="Q549" s="75"/>
      <c r="R549" s="75"/>
      <c r="S549" s="75"/>
      <c r="T549" s="75"/>
      <c r="U549" s="75"/>
      <c r="V549" s="77"/>
      <c r="W549" s="75"/>
      <c r="X549" s="75"/>
      <c r="Y549" s="75"/>
      <c r="Z549" s="78"/>
      <c r="AA549" s="78"/>
      <c r="AB549" s="75"/>
      <c r="AJ549" s="72"/>
    </row>
    <row r="550" spans="1:36" s="69" customFormat="1" x14ac:dyDescent="0.25">
      <c r="A550" s="75"/>
      <c r="B550" s="75"/>
      <c r="C550" s="76"/>
      <c r="D550" s="76"/>
      <c r="E550" s="75"/>
      <c r="F550" s="75"/>
      <c r="G550" s="75"/>
      <c r="H550" s="75"/>
      <c r="I550" s="75"/>
      <c r="J550" s="75"/>
      <c r="K550" s="75"/>
      <c r="L550" s="75"/>
      <c r="M550" s="75"/>
      <c r="N550" s="75"/>
      <c r="O550" s="75"/>
      <c r="P550" s="75"/>
      <c r="Q550" s="75"/>
      <c r="R550" s="75"/>
      <c r="S550" s="75"/>
      <c r="T550" s="75"/>
      <c r="U550" s="75"/>
      <c r="V550" s="77"/>
      <c r="W550" s="75"/>
      <c r="X550" s="75"/>
      <c r="Y550" s="75"/>
      <c r="Z550" s="78"/>
      <c r="AA550" s="78"/>
      <c r="AB550" s="75"/>
      <c r="AJ550" s="72"/>
    </row>
    <row r="551" spans="1:36" s="69" customFormat="1" x14ac:dyDescent="0.25">
      <c r="A551" s="75"/>
      <c r="B551" s="75"/>
      <c r="C551" s="76"/>
      <c r="D551" s="76"/>
      <c r="E551" s="75"/>
      <c r="F551" s="75"/>
      <c r="G551" s="75"/>
      <c r="H551" s="75"/>
      <c r="I551" s="75"/>
      <c r="J551" s="75"/>
      <c r="K551" s="75"/>
      <c r="L551" s="75"/>
      <c r="M551" s="75"/>
      <c r="N551" s="75"/>
      <c r="O551" s="75"/>
      <c r="P551" s="75"/>
      <c r="Q551" s="75"/>
      <c r="R551" s="75"/>
      <c r="S551" s="75"/>
      <c r="T551" s="75"/>
      <c r="U551" s="75"/>
      <c r="V551" s="77"/>
      <c r="W551" s="75"/>
      <c r="X551" s="75"/>
      <c r="Y551" s="75"/>
      <c r="Z551" s="78"/>
      <c r="AA551" s="78"/>
      <c r="AB551" s="75"/>
      <c r="AJ551" s="72"/>
    </row>
    <row r="552" spans="1:36" s="69" customFormat="1" x14ac:dyDescent="0.25">
      <c r="A552" s="75"/>
      <c r="B552" s="75"/>
      <c r="C552" s="76"/>
      <c r="D552" s="76"/>
      <c r="E552" s="75"/>
      <c r="F552" s="75"/>
      <c r="G552" s="75"/>
      <c r="H552" s="75"/>
      <c r="I552" s="75"/>
      <c r="J552" s="75"/>
      <c r="K552" s="75"/>
      <c r="L552" s="75"/>
      <c r="M552" s="75"/>
      <c r="N552" s="75"/>
      <c r="O552" s="75"/>
      <c r="P552" s="75"/>
      <c r="Q552" s="75"/>
      <c r="R552" s="75"/>
      <c r="S552" s="75"/>
      <c r="T552" s="75"/>
      <c r="U552" s="75"/>
      <c r="V552" s="77"/>
      <c r="W552" s="75"/>
      <c r="X552" s="75"/>
      <c r="Y552" s="75"/>
      <c r="Z552" s="78"/>
      <c r="AA552" s="78"/>
      <c r="AB552" s="75"/>
      <c r="AJ552" s="72"/>
    </row>
    <row r="553" spans="1:36" s="69" customFormat="1" x14ac:dyDescent="0.25">
      <c r="A553" s="75"/>
      <c r="B553" s="75"/>
      <c r="C553" s="76"/>
      <c r="D553" s="76"/>
      <c r="E553" s="75"/>
      <c r="F553" s="75"/>
      <c r="G553" s="75"/>
      <c r="H553" s="75"/>
      <c r="I553" s="75"/>
      <c r="J553" s="75"/>
      <c r="K553" s="75"/>
      <c r="L553" s="75"/>
      <c r="M553" s="75"/>
      <c r="N553" s="75"/>
      <c r="O553" s="75"/>
      <c r="P553" s="75"/>
      <c r="Q553" s="75"/>
      <c r="R553" s="75"/>
      <c r="S553" s="75"/>
      <c r="T553" s="75"/>
      <c r="U553" s="75"/>
      <c r="V553" s="77"/>
      <c r="W553" s="75"/>
      <c r="X553" s="75"/>
      <c r="Y553" s="75"/>
      <c r="Z553" s="78"/>
      <c r="AA553" s="78"/>
      <c r="AB553" s="75"/>
      <c r="AJ553" s="72"/>
    </row>
    <row r="554" spans="1:36" s="69" customFormat="1" x14ac:dyDescent="0.25">
      <c r="A554" s="75"/>
      <c r="B554" s="75"/>
      <c r="C554" s="76"/>
      <c r="D554" s="76"/>
      <c r="E554" s="75"/>
      <c r="F554" s="75"/>
      <c r="G554" s="75"/>
      <c r="H554" s="75"/>
      <c r="I554" s="75"/>
      <c r="J554" s="75"/>
      <c r="K554" s="75"/>
      <c r="L554" s="75"/>
      <c r="M554" s="75"/>
      <c r="N554" s="75"/>
      <c r="O554" s="75"/>
      <c r="P554" s="75"/>
      <c r="Q554" s="75"/>
      <c r="R554" s="75"/>
      <c r="S554" s="75"/>
      <c r="T554" s="75"/>
      <c r="U554" s="75"/>
      <c r="V554" s="77"/>
      <c r="W554" s="75"/>
      <c r="X554" s="75"/>
      <c r="Y554" s="75"/>
      <c r="Z554" s="78"/>
      <c r="AA554" s="78"/>
      <c r="AB554" s="75"/>
      <c r="AJ554" s="72"/>
    </row>
    <row r="555" spans="1:36" s="69" customFormat="1" x14ac:dyDescent="0.25">
      <c r="A555" s="75"/>
      <c r="B555" s="75"/>
      <c r="C555" s="76"/>
      <c r="D555" s="76"/>
      <c r="E555" s="75"/>
      <c r="F555" s="75"/>
      <c r="G555" s="75"/>
      <c r="H555" s="75"/>
      <c r="I555" s="75"/>
      <c r="J555" s="75"/>
      <c r="K555" s="75"/>
      <c r="L555" s="75"/>
      <c r="M555" s="75"/>
      <c r="N555" s="75"/>
      <c r="O555" s="75"/>
      <c r="P555" s="75"/>
      <c r="Q555" s="75"/>
      <c r="R555" s="75"/>
      <c r="S555" s="75"/>
      <c r="T555" s="75"/>
      <c r="U555" s="75"/>
      <c r="V555" s="77"/>
      <c r="W555" s="75"/>
      <c r="X555" s="75"/>
      <c r="Y555" s="75"/>
      <c r="Z555" s="78"/>
      <c r="AA555" s="78"/>
      <c r="AB555" s="75"/>
      <c r="AJ555" s="72"/>
    </row>
    <row r="556" spans="1:36" s="69" customFormat="1" x14ac:dyDescent="0.25">
      <c r="A556" s="75"/>
      <c r="B556" s="75"/>
      <c r="C556" s="76"/>
      <c r="D556" s="76"/>
      <c r="E556" s="75"/>
      <c r="F556" s="75"/>
      <c r="G556" s="75"/>
      <c r="H556" s="75"/>
      <c r="I556" s="75"/>
      <c r="J556" s="75"/>
      <c r="K556" s="75"/>
      <c r="L556" s="75"/>
      <c r="M556" s="75"/>
      <c r="N556" s="75"/>
      <c r="O556" s="75"/>
      <c r="P556" s="75"/>
      <c r="Q556" s="75"/>
      <c r="R556" s="75"/>
      <c r="S556" s="75"/>
      <c r="T556" s="75"/>
      <c r="U556" s="75"/>
      <c r="V556" s="77"/>
      <c r="W556" s="75"/>
      <c r="X556" s="75"/>
      <c r="Y556" s="75"/>
      <c r="Z556" s="78"/>
      <c r="AA556" s="78"/>
      <c r="AB556" s="75"/>
      <c r="AJ556" s="72"/>
    </row>
    <row r="557" spans="1:36" s="69" customFormat="1" x14ac:dyDescent="0.25">
      <c r="A557" s="75"/>
      <c r="B557" s="75"/>
      <c r="C557" s="76"/>
      <c r="D557" s="76"/>
      <c r="E557" s="75"/>
      <c r="F557" s="75"/>
      <c r="G557" s="75"/>
      <c r="H557" s="75"/>
      <c r="I557" s="75"/>
      <c r="J557" s="75"/>
      <c r="K557" s="75"/>
      <c r="L557" s="75"/>
      <c r="M557" s="75"/>
      <c r="N557" s="75"/>
      <c r="O557" s="75"/>
      <c r="P557" s="75"/>
      <c r="Q557" s="75"/>
      <c r="R557" s="75"/>
      <c r="S557" s="75"/>
      <c r="T557" s="75"/>
      <c r="U557" s="75"/>
      <c r="V557" s="77"/>
      <c r="W557" s="75"/>
      <c r="X557" s="75"/>
      <c r="Y557" s="75"/>
      <c r="Z557" s="78"/>
      <c r="AA557" s="78"/>
      <c r="AB557" s="75"/>
      <c r="AJ557" s="72"/>
    </row>
    <row r="558" spans="1:36" s="69" customFormat="1" x14ac:dyDescent="0.25">
      <c r="A558" s="75"/>
      <c r="B558" s="75"/>
      <c r="C558" s="76"/>
      <c r="D558" s="76"/>
      <c r="E558" s="75"/>
      <c r="F558" s="75"/>
      <c r="G558" s="75"/>
      <c r="H558" s="75"/>
      <c r="I558" s="75"/>
      <c r="J558" s="75"/>
      <c r="K558" s="75"/>
      <c r="L558" s="75"/>
      <c r="M558" s="75"/>
      <c r="N558" s="75"/>
      <c r="O558" s="75"/>
      <c r="P558" s="75"/>
      <c r="Q558" s="75"/>
      <c r="R558" s="75"/>
      <c r="S558" s="75"/>
      <c r="T558" s="75"/>
      <c r="U558" s="75"/>
      <c r="V558" s="77"/>
      <c r="W558" s="75"/>
      <c r="X558" s="75"/>
      <c r="Y558" s="75"/>
      <c r="Z558" s="78"/>
      <c r="AA558" s="78"/>
      <c r="AB558" s="75"/>
      <c r="AJ558" s="72"/>
    </row>
    <row r="559" spans="1:36" s="69" customFormat="1" x14ac:dyDescent="0.25">
      <c r="A559" s="75"/>
      <c r="B559" s="75"/>
      <c r="C559" s="76"/>
      <c r="D559" s="76"/>
      <c r="E559" s="75"/>
      <c r="F559" s="75"/>
      <c r="G559" s="75"/>
      <c r="H559" s="75"/>
      <c r="I559" s="75"/>
      <c r="J559" s="75"/>
      <c r="K559" s="75"/>
      <c r="L559" s="75"/>
      <c r="M559" s="75"/>
      <c r="N559" s="75"/>
      <c r="O559" s="75"/>
      <c r="P559" s="75"/>
      <c r="Q559" s="75"/>
      <c r="R559" s="75"/>
      <c r="S559" s="75"/>
      <c r="T559" s="75"/>
      <c r="U559" s="75"/>
      <c r="V559" s="77"/>
      <c r="W559" s="75"/>
      <c r="X559" s="75"/>
      <c r="Y559" s="75"/>
      <c r="Z559" s="78"/>
      <c r="AA559" s="78"/>
      <c r="AB559" s="75"/>
      <c r="AJ559" s="72"/>
    </row>
    <row r="560" spans="1:36" s="69" customFormat="1" x14ac:dyDescent="0.25">
      <c r="A560" s="75"/>
      <c r="B560" s="75"/>
      <c r="C560" s="76"/>
      <c r="D560" s="76"/>
      <c r="E560" s="75"/>
      <c r="F560" s="75"/>
      <c r="G560" s="75"/>
      <c r="H560" s="75"/>
      <c r="I560" s="75"/>
      <c r="J560" s="75"/>
      <c r="K560" s="75"/>
      <c r="L560" s="75"/>
      <c r="M560" s="75"/>
      <c r="N560" s="75"/>
      <c r="O560" s="75"/>
      <c r="P560" s="75"/>
      <c r="Q560" s="75"/>
      <c r="R560" s="75"/>
      <c r="S560" s="75"/>
      <c r="T560" s="75"/>
      <c r="U560" s="75"/>
      <c r="V560" s="77"/>
      <c r="W560" s="75"/>
      <c r="X560" s="75"/>
      <c r="Y560" s="75"/>
      <c r="Z560" s="78"/>
      <c r="AA560" s="78"/>
      <c r="AB560" s="75"/>
      <c r="AJ560" s="72"/>
    </row>
    <row r="561" spans="1:36" s="69" customFormat="1" x14ac:dyDescent="0.25">
      <c r="A561" s="75"/>
      <c r="B561" s="75"/>
      <c r="C561" s="76"/>
      <c r="D561" s="76"/>
      <c r="E561" s="75"/>
      <c r="F561" s="75"/>
      <c r="G561" s="75"/>
      <c r="H561" s="75"/>
      <c r="I561" s="75"/>
      <c r="J561" s="75"/>
      <c r="K561" s="75"/>
      <c r="L561" s="75"/>
      <c r="M561" s="75"/>
      <c r="N561" s="75"/>
      <c r="O561" s="75"/>
      <c r="P561" s="75"/>
      <c r="Q561" s="75"/>
      <c r="R561" s="75"/>
      <c r="S561" s="75"/>
      <c r="T561" s="75"/>
      <c r="U561" s="75"/>
      <c r="V561" s="77"/>
      <c r="W561" s="75"/>
      <c r="X561" s="75"/>
      <c r="Y561" s="75"/>
      <c r="Z561" s="78"/>
      <c r="AA561" s="78"/>
      <c r="AB561" s="75"/>
      <c r="AJ561" s="72"/>
    </row>
    <row r="562" spans="1:36" s="69" customFormat="1" x14ac:dyDescent="0.25">
      <c r="A562" s="75"/>
      <c r="B562" s="75"/>
      <c r="C562" s="76"/>
      <c r="D562" s="76"/>
      <c r="E562" s="75"/>
      <c r="F562" s="75"/>
      <c r="G562" s="75"/>
      <c r="H562" s="75"/>
      <c r="I562" s="75"/>
      <c r="J562" s="75"/>
      <c r="K562" s="75"/>
      <c r="L562" s="75"/>
      <c r="M562" s="75"/>
      <c r="N562" s="75"/>
      <c r="O562" s="75"/>
      <c r="P562" s="75"/>
      <c r="Q562" s="75"/>
      <c r="R562" s="75"/>
      <c r="S562" s="75"/>
      <c r="T562" s="75"/>
      <c r="U562" s="75"/>
      <c r="V562" s="77"/>
      <c r="W562" s="75"/>
      <c r="X562" s="75"/>
      <c r="Y562" s="75"/>
      <c r="Z562" s="78"/>
      <c r="AA562" s="78"/>
      <c r="AB562" s="75"/>
      <c r="AJ562" s="72"/>
    </row>
    <row r="563" spans="1:36" s="69" customFormat="1" x14ac:dyDescent="0.25">
      <c r="A563" s="75"/>
      <c r="B563" s="75"/>
      <c r="C563" s="76"/>
      <c r="D563" s="76"/>
      <c r="E563" s="75"/>
      <c r="F563" s="75"/>
      <c r="G563" s="75"/>
      <c r="H563" s="75"/>
      <c r="I563" s="75"/>
      <c r="J563" s="75"/>
      <c r="K563" s="75"/>
      <c r="L563" s="75"/>
      <c r="M563" s="75"/>
      <c r="N563" s="75"/>
      <c r="O563" s="75"/>
      <c r="P563" s="75"/>
      <c r="Q563" s="75"/>
      <c r="R563" s="75"/>
      <c r="S563" s="75"/>
      <c r="T563" s="75"/>
      <c r="U563" s="75"/>
      <c r="V563" s="77"/>
      <c r="W563" s="75"/>
      <c r="X563" s="75"/>
      <c r="Y563" s="75"/>
      <c r="Z563" s="78"/>
      <c r="AA563" s="78"/>
      <c r="AB563" s="75"/>
      <c r="AJ563" s="72"/>
    </row>
    <row r="564" spans="1:36" s="69" customFormat="1" x14ac:dyDescent="0.25">
      <c r="A564" s="75"/>
      <c r="B564" s="75"/>
      <c r="C564" s="76"/>
      <c r="D564" s="76"/>
      <c r="E564" s="75"/>
      <c r="F564" s="75"/>
      <c r="G564" s="75"/>
      <c r="H564" s="75"/>
      <c r="I564" s="75"/>
      <c r="J564" s="75"/>
      <c r="K564" s="75"/>
      <c r="L564" s="75"/>
      <c r="M564" s="75"/>
      <c r="N564" s="75"/>
      <c r="O564" s="75"/>
      <c r="P564" s="75"/>
      <c r="Q564" s="75"/>
      <c r="R564" s="75"/>
      <c r="S564" s="75"/>
      <c r="T564" s="75"/>
      <c r="U564" s="75"/>
      <c r="V564" s="77"/>
      <c r="W564" s="75"/>
      <c r="X564" s="75"/>
      <c r="Y564" s="75"/>
      <c r="Z564" s="78"/>
      <c r="AA564" s="78"/>
      <c r="AB564" s="75"/>
      <c r="AJ564" s="72"/>
    </row>
    <row r="565" spans="1:36" s="69" customFormat="1" x14ac:dyDescent="0.25">
      <c r="A565" s="75"/>
      <c r="B565" s="75"/>
      <c r="C565" s="76"/>
      <c r="D565" s="76"/>
      <c r="E565" s="75"/>
      <c r="F565" s="75"/>
      <c r="G565" s="75"/>
      <c r="H565" s="75"/>
      <c r="I565" s="75"/>
      <c r="J565" s="75"/>
      <c r="K565" s="75"/>
      <c r="L565" s="75"/>
      <c r="M565" s="75"/>
      <c r="N565" s="75"/>
      <c r="O565" s="75"/>
      <c r="P565" s="75"/>
      <c r="Q565" s="75"/>
      <c r="R565" s="75"/>
      <c r="S565" s="75"/>
      <c r="T565" s="75"/>
      <c r="U565" s="75"/>
      <c r="V565" s="77"/>
      <c r="W565" s="75"/>
      <c r="X565" s="75"/>
      <c r="Y565" s="75"/>
      <c r="Z565" s="78"/>
      <c r="AA565" s="78"/>
      <c r="AB565" s="75"/>
      <c r="AJ565" s="72"/>
    </row>
    <row r="566" spans="1:36" s="69" customFormat="1" x14ac:dyDescent="0.25">
      <c r="A566" s="75"/>
      <c r="B566" s="75"/>
      <c r="C566" s="76"/>
      <c r="D566" s="76"/>
      <c r="E566" s="75"/>
      <c r="F566" s="75"/>
      <c r="G566" s="75"/>
      <c r="H566" s="75"/>
      <c r="I566" s="75"/>
      <c r="J566" s="75"/>
      <c r="K566" s="75"/>
      <c r="L566" s="75"/>
      <c r="M566" s="75"/>
      <c r="N566" s="75"/>
      <c r="O566" s="75"/>
      <c r="P566" s="75"/>
      <c r="Q566" s="75"/>
      <c r="R566" s="75"/>
      <c r="S566" s="75"/>
      <c r="T566" s="75"/>
      <c r="U566" s="75"/>
      <c r="V566" s="77"/>
      <c r="W566" s="75"/>
      <c r="X566" s="75"/>
      <c r="Y566" s="75"/>
      <c r="Z566" s="78"/>
      <c r="AA566" s="78"/>
      <c r="AB566" s="75"/>
      <c r="AJ566" s="72"/>
    </row>
    <row r="567" spans="1:36" s="69" customFormat="1" x14ac:dyDescent="0.25">
      <c r="A567" s="75"/>
      <c r="B567" s="75"/>
      <c r="C567" s="76"/>
      <c r="D567" s="76"/>
      <c r="E567" s="75"/>
      <c r="F567" s="75"/>
      <c r="G567" s="75"/>
      <c r="H567" s="75"/>
      <c r="I567" s="75"/>
      <c r="J567" s="75"/>
      <c r="K567" s="75"/>
      <c r="L567" s="75"/>
      <c r="M567" s="75"/>
      <c r="N567" s="75"/>
      <c r="O567" s="75"/>
      <c r="P567" s="75"/>
      <c r="Q567" s="75"/>
      <c r="R567" s="75"/>
      <c r="S567" s="75"/>
      <c r="T567" s="75"/>
      <c r="U567" s="75"/>
      <c r="V567" s="77"/>
      <c r="W567" s="75"/>
      <c r="X567" s="75"/>
      <c r="Y567" s="75"/>
      <c r="Z567" s="78"/>
      <c r="AA567" s="78"/>
      <c r="AB567" s="75"/>
      <c r="AJ567" s="72"/>
    </row>
    <row r="568" spans="1:36" s="69" customFormat="1" x14ac:dyDescent="0.25">
      <c r="A568" s="75"/>
      <c r="B568" s="75"/>
      <c r="C568" s="76"/>
      <c r="D568" s="76"/>
      <c r="E568" s="75"/>
      <c r="F568" s="75"/>
      <c r="G568" s="75"/>
      <c r="H568" s="75"/>
      <c r="I568" s="75"/>
      <c r="J568" s="75"/>
      <c r="K568" s="75"/>
      <c r="L568" s="75"/>
      <c r="M568" s="75"/>
      <c r="N568" s="75"/>
      <c r="O568" s="75"/>
      <c r="P568" s="75"/>
      <c r="Q568" s="75"/>
      <c r="R568" s="75"/>
      <c r="S568" s="75"/>
      <c r="T568" s="75"/>
      <c r="U568" s="75"/>
      <c r="V568" s="77"/>
      <c r="W568" s="75"/>
      <c r="X568" s="75"/>
      <c r="Y568" s="75"/>
      <c r="Z568" s="78"/>
      <c r="AA568" s="78"/>
      <c r="AB568" s="75"/>
      <c r="AJ568" s="72"/>
    </row>
    <row r="569" spans="1:36" s="69" customFormat="1" x14ac:dyDescent="0.25">
      <c r="A569" s="75"/>
      <c r="B569" s="75"/>
      <c r="C569" s="76"/>
      <c r="D569" s="76"/>
      <c r="E569" s="75"/>
      <c r="F569" s="75"/>
      <c r="G569" s="75"/>
      <c r="H569" s="75"/>
      <c r="I569" s="75"/>
      <c r="J569" s="75"/>
      <c r="K569" s="75"/>
      <c r="L569" s="75"/>
      <c r="M569" s="75"/>
      <c r="N569" s="75"/>
      <c r="O569" s="75"/>
      <c r="P569" s="75"/>
      <c r="Q569" s="75"/>
      <c r="R569" s="75"/>
      <c r="S569" s="75"/>
      <c r="T569" s="75"/>
      <c r="U569" s="75"/>
      <c r="V569" s="77"/>
      <c r="W569" s="75"/>
      <c r="X569" s="75"/>
      <c r="Y569" s="75"/>
      <c r="Z569" s="78"/>
      <c r="AA569" s="78"/>
      <c r="AB569" s="75"/>
      <c r="AJ569" s="72"/>
    </row>
    <row r="570" spans="1:36" s="69" customFormat="1" x14ac:dyDescent="0.25">
      <c r="A570" s="75"/>
      <c r="B570" s="75"/>
      <c r="C570" s="76"/>
      <c r="D570" s="76"/>
      <c r="E570" s="75"/>
      <c r="F570" s="75"/>
      <c r="G570" s="75"/>
      <c r="H570" s="75"/>
      <c r="I570" s="75"/>
      <c r="J570" s="75"/>
      <c r="K570" s="75"/>
      <c r="L570" s="75"/>
      <c r="M570" s="75"/>
      <c r="N570" s="75"/>
      <c r="O570" s="75"/>
      <c r="P570" s="75"/>
      <c r="Q570" s="75"/>
      <c r="R570" s="75"/>
      <c r="S570" s="75"/>
      <c r="T570" s="75"/>
      <c r="U570" s="75"/>
      <c r="V570" s="77"/>
      <c r="W570" s="75"/>
      <c r="X570" s="75"/>
      <c r="Y570" s="75"/>
      <c r="Z570" s="78"/>
      <c r="AA570" s="78"/>
      <c r="AB570" s="75"/>
      <c r="AJ570" s="72"/>
    </row>
    <row r="571" spans="1:36" s="69" customFormat="1" x14ac:dyDescent="0.25">
      <c r="A571" s="75"/>
      <c r="B571" s="75"/>
      <c r="C571" s="76"/>
      <c r="D571" s="76"/>
      <c r="E571" s="75"/>
      <c r="F571" s="75"/>
      <c r="G571" s="75"/>
      <c r="H571" s="75"/>
      <c r="I571" s="75"/>
      <c r="J571" s="75"/>
      <c r="K571" s="75"/>
      <c r="L571" s="75"/>
      <c r="M571" s="75"/>
      <c r="N571" s="75"/>
      <c r="O571" s="75"/>
      <c r="P571" s="75"/>
      <c r="Q571" s="75"/>
      <c r="R571" s="75"/>
      <c r="S571" s="75"/>
      <c r="T571" s="75"/>
      <c r="U571" s="75"/>
      <c r="V571" s="77"/>
      <c r="W571" s="75"/>
      <c r="X571" s="75"/>
      <c r="Y571" s="75"/>
      <c r="Z571" s="78"/>
      <c r="AA571" s="78"/>
      <c r="AB571" s="75"/>
      <c r="AJ571" s="72"/>
    </row>
    <row r="572" spans="1:36" s="69" customFormat="1" x14ac:dyDescent="0.25">
      <c r="B572" s="75"/>
      <c r="C572" s="76"/>
      <c r="D572" s="76"/>
      <c r="E572" s="75"/>
      <c r="F572" s="75"/>
      <c r="G572" s="75"/>
      <c r="H572" s="75"/>
      <c r="I572" s="75"/>
      <c r="J572" s="75"/>
      <c r="K572" s="75"/>
      <c r="L572" s="75"/>
      <c r="M572" s="75"/>
      <c r="N572" s="75"/>
      <c r="O572" s="75"/>
      <c r="P572" s="75"/>
      <c r="Q572" s="75"/>
      <c r="R572" s="75"/>
      <c r="S572" s="75"/>
      <c r="T572" s="75"/>
      <c r="U572" s="75"/>
      <c r="V572" s="77"/>
      <c r="W572" s="75"/>
      <c r="X572" s="75"/>
      <c r="Y572" s="75"/>
      <c r="Z572" s="78"/>
      <c r="AA572" s="78"/>
      <c r="AB572" s="75"/>
      <c r="AJ572" s="72"/>
    </row>
    <row r="573" spans="1:36" s="69" customFormat="1" x14ac:dyDescent="0.25">
      <c r="B573" s="75"/>
      <c r="C573" s="76"/>
      <c r="D573" s="76"/>
      <c r="E573" s="75"/>
      <c r="F573" s="75"/>
      <c r="G573" s="75"/>
      <c r="H573" s="75"/>
      <c r="I573" s="75"/>
      <c r="J573" s="75"/>
      <c r="K573" s="75"/>
      <c r="L573" s="75"/>
      <c r="M573" s="75"/>
      <c r="N573" s="75"/>
      <c r="O573" s="75"/>
      <c r="P573" s="75"/>
      <c r="Q573" s="75"/>
      <c r="R573" s="75"/>
      <c r="S573" s="75"/>
      <c r="T573" s="75"/>
      <c r="U573" s="75"/>
      <c r="V573" s="77"/>
      <c r="W573" s="75"/>
      <c r="X573" s="75"/>
      <c r="Y573" s="75"/>
      <c r="Z573" s="78"/>
      <c r="AA573" s="78"/>
      <c r="AB573" s="75"/>
      <c r="AJ573" s="72"/>
    </row>
    <row r="574" spans="1:36" s="69" customFormat="1" x14ac:dyDescent="0.25">
      <c r="B574" s="75"/>
      <c r="C574" s="76"/>
      <c r="D574" s="76"/>
      <c r="E574" s="75"/>
      <c r="F574" s="75"/>
      <c r="G574" s="75"/>
      <c r="H574" s="75"/>
      <c r="I574" s="75"/>
      <c r="J574" s="75"/>
      <c r="K574" s="75"/>
      <c r="L574" s="75"/>
      <c r="M574" s="75"/>
      <c r="N574" s="75"/>
      <c r="O574" s="75"/>
      <c r="P574" s="75"/>
      <c r="Q574" s="75"/>
      <c r="R574" s="75"/>
      <c r="S574" s="75"/>
      <c r="T574" s="75"/>
      <c r="U574" s="75"/>
      <c r="V574" s="77"/>
      <c r="W574" s="75"/>
      <c r="X574" s="75"/>
      <c r="Y574" s="75"/>
      <c r="Z574" s="78"/>
      <c r="AA574" s="78"/>
      <c r="AB574" s="75"/>
      <c r="AJ574" s="72"/>
    </row>
    <row r="575" spans="1:36" s="69" customFormat="1" x14ac:dyDescent="0.25">
      <c r="B575" s="75"/>
      <c r="C575" s="76"/>
      <c r="D575" s="76"/>
      <c r="E575" s="75"/>
      <c r="F575" s="75"/>
      <c r="G575" s="75"/>
      <c r="H575" s="75"/>
      <c r="I575" s="75"/>
      <c r="J575" s="75"/>
      <c r="K575" s="75"/>
      <c r="L575" s="75"/>
      <c r="M575" s="75"/>
      <c r="N575" s="75"/>
      <c r="O575" s="75"/>
      <c r="P575" s="75"/>
      <c r="Q575" s="75"/>
      <c r="R575" s="75"/>
      <c r="S575" s="75"/>
      <c r="T575" s="75"/>
      <c r="U575" s="75"/>
      <c r="V575" s="77"/>
      <c r="W575" s="75"/>
      <c r="X575" s="75"/>
      <c r="Y575" s="75"/>
      <c r="Z575" s="78"/>
      <c r="AA575" s="78"/>
      <c r="AB575" s="75"/>
      <c r="AJ575" s="72"/>
    </row>
    <row r="576" spans="1:36" s="69" customFormat="1" x14ac:dyDescent="0.25">
      <c r="B576" s="75"/>
      <c r="C576" s="76"/>
      <c r="D576" s="76"/>
      <c r="E576" s="75"/>
      <c r="F576" s="75"/>
      <c r="G576" s="75"/>
      <c r="H576" s="75"/>
      <c r="I576" s="75"/>
      <c r="J576" s="75"/>
      <c r="K576" s="75"/>
      <c r="L576" s="75"/>
      <c r="M576" s="75"/>
      <c r="N576" s="75"/>
      <c r="O576" s="75"/>
      <c r="P576" s="75"/>
      <c r="Q576" s="75"/>
      <c r="R576" s="75"/>
      <c r="S576" s="75"/>
      <c r="T576" s="75"/>
      <c r="U576" s="75"/>
      <c r="V576" s="77"/>
      <c r="W576" s="75"/>
      <c r="X576" s="75"/>
      <c r="Y576" s="75"/>
      <c r="Z576" s="78"/>
      <c r="AA576" s="78"/>
      <c r="AB576" s="75"/>
      <c r="AJ576" s="72"/>
    </row>
    <row r="577" spans="2:36" s="69" customFormat="1" x14ac:dyDescent="0.25">
      <c r="B577" s="75"/>
      <c r="C577" s="76"/>
      <c r="D577" s="76"/>
      <c r="E577" s="75"/>
      <c r="F577" s="75"/>
      <c r="G577" s="75"/>
      <c r="H577" s="75"/>
      <c r="I577" s="75"/>
      <c r="J577" s="75"/>
      <c r="K577" s="75"/>
      <c r="L577" s="75"/>
      <c r="M577" s="75"/>
      <c r="N577" s="75"/>
      <c r="O577" s="75"/>
      <c r="P577" s="75"/>
      <c r="Q577" s="75"/>
      <c r="R577" s="75"/>
      <c r="S577" s="75"/>
      <c r="T577" s="75"/>
      <c r="U577" s="75"/>
      <c r="V577" s="77"/>
      <c r="W577" s="75"/>
      <c r="X577" s="75"/>
      <c r="Y577" s="75"/>
      <c r="Z577" s="78"/>
      <c r="AA577" s="78"/>
      <c r="AB577" s="75"/>
      <c r="AJ577" s="72"/>
    </row>
    <row r="578" spans="2:36" s="69" customFormat="1" x14ac:dyDescent="0.25">
      <c r="B578" s="75"/>
      <c r="C578" s="76"/>
      <c r="D578" s="76"/>
      <c r="E578" s="75"/>
      <c r="F578" s="75"/>
      <c r="G578" s="75"/>
      <c r="H578" s="75"/>
      <c r="I578" s="75"/>
      <c r="J578" s="75"/>
      <c r="K578" s="75"/>
      <c r="L578" s="75"/>
      <c r="M578" s="75"/>
      <c r="N578" s="75"/>
      <c r="O578" s="75"/>
      <c r="P578" s="75"/>
      <c r="Q578" s="75"/>
      <c r="R578" s="75"/>
      <c r="S578" s="75"/>
      <c r="T578" s="75"/>
      <c r="U578" s="75"/>
      <c r="V578" s="77"/>
      <c r="W578" s="75"/>
      <c r="X578" s="75"/>
      <c r="Y578" s="75"/>
      <c r="Z578" s="78"/>
      <c r="AA578" s="78"/>
      <c r="AB578" s="75"/>
      <c r="AJ578" s="72"/>
    </row>
    <row r="579" spans="2:36" s="69" customFormat="1" x14ac:dyDescent="0.25">
      <c r="B579" s="75"/>
      <c r="C579" s="76"/>
      <c r="D579" s="76"/>
      <c r="E579" s="75"/>
      <c r="F579" s="75"/>
      <c r="G579" s="75"/>
      <c r="H579" s="75"/>
      <c r="I579" s="75"/>
      <c r="J579" s="75"/>
      <c r="K579" s="75"/>
      <c r="L579" s="75"/>
      <c r="M579" s="75"/>
      <c r="N579" s="75"/>
      <c r="O579" s="75"/>
      <c r="P579" s="75"/>
      <c r="Q579" s="75"/>
      <c r="R579" s="75"/>
      <c r="S579" s="75"/>
      <c r="T579" s="75"/>
      <c r="U579" s="75"/>
      <c r="V579" s="77"/>
      <c r="W579" s="75"/>
      <c r="X579" s="75"/>
      <c r="Y579" s="75"/>
      <c r="Z579" s="78"/>
      <c r="AA579" s="78"/>
      <c r="AB579" s="75"/>
      <c r="AJ579" s="72"/>
    </row>
    <row r="580" spans="2:36" s="69" customFormat="1" x14ac:dyDescent="0.25">
      <c r="B580" s="75"/>
      <c r="C580" s="76"/>
      <c r="D580" s="76"/>
      <c r="E580" s="75"/>
      <c r="F580" s="75"/>
      <c r="G580" s="75"/>
      <c r="H580" s="75"/>
      <c r="I580" s="75"/>
      <c r="J580" s="75"/>
      <c r="K580" s="75"/>
      <c r="L580" s="75"/>
      <c r="M580" s="75"/>
      <c r="N580" s="75"/>
      <c r="O580" s="75"/>
      <c r="P580" s="75"/>
      <c r="Q580" s="75"/>
      <c r="R580" s="75"/>
      <c r="S580" s="75"/>
      <c r="T580" s="75"/>
      <c r="U580" s="75"/>
      <c r="V580" s="77"/>
      <c r="W580" s="75"/>
      <c r="X580" s="75"/>
      <c r="Y580" s="75"/>
      <c r="Z580" s="78"/>
      <c r="AA580" s="78"/>
      <c r="AB580" s="75"/>
      <c r="AJ580" s="72"/>
    </row>
    <row r="581" spans="2:36" s="69" customFormat="1" x14ac:dyDescent="0.25">
      <c r="B581" s="75"/>
      <c r="C581" s="76"/>
      <c r="D581" s="76"/>
      <c r="E581" s="75"/>
      <c r="F581" s="75"/>
      <c r="G581" s="75"/>
      <c r="H581" s="75"/>
      <c r="I581" s="75"/>
      <c r="J581" s="75"/>
      <c r="K581" s="75"/>
      <c r="L581" s="75"/>
      <c r="M581" s="75"/>
      <c r="N581" s="75"/>
      <c r="O581" s="75"/>
      <c r="P581" s="75"/>
      <c r="Q581" s="75"/>
      <c r="R581" s="75"/>
      <c r="S581" s="75"/>
      <c r="T581" s="75"/>
      <c r="U581" s="75"/>
      <c r="V581" s="77"/>
      <c r="W581" s="75"/>
      <c r="X581" s="75"/>
      <c r="Y581" s="75"/>
      <c r="Z581" s="78"/>
      <c r="AA581" s="78"/>
      <c r="AB581" s="75"/>
      <c r="AJ581" s="72"/>
    </row>
    <row r="582" spans="2:36" s="69" customFormat="1" x14ac:dyDescent="0.25">
      <c r="B582" s="75"/>
      <c r="C582" s="76"/>
      <c r="D582" s="76"/>
      <c r="E582" s="75"/>
      <c r="F582" s="75"/>
      <c r="G582" s="75"/>
      <c r="H582" s="75"/>
      <c r="I582" s="75"/>
      <c r="J582" s="75"/>
      <c r="K582" s="75"/>
      <c r="L582" s="75"/>
      <c r="M582" s="75"/>
      <c r="N582" s="75"/>
      <c r="O582" s="75"/>
      <c r="P582" s="75"/>
      <c r="Q582" s="75"/>
      <c r="R582" s="75"/>
      <c r="S582" s="75"/>
      <c r="T582" s="75"/>
      <c r="U582" s="75"/>
      <c r="V582" s="77"/>
      <c r="W582" s="75"/>
      <c r="X582" s="75"/>
      <c r="Y582" s="75"/>
      <c r="Z582" s="78"/>
      <c r="AA582" s="78"/>
      <c r="AB582" s="75"/>
      <c r="AJ582" s="72"/>
    </row>
    <row r="583" spans="2:36" s="69" customFormat="1" x14ac:dyDescent="0.25">
      <c r="B583" s="75"/>
      <c r="C583" s="76"/>
      <c r="D583" s="76"/>
      <c r="E583" s="75"/>
      <c r="F583" s="75"/>
      <c r="G583" s="75"/>
      <c r="H583" s="75"/>
      <c r="I583" s="75"/>
      <c r="J583" s="75"/>
      <c r="K583" s="75"/>
      <c r="L583" s="75"/>
      <c r="M583" s="75"/>
      <c r="N583" s="75"/>
      <c r="O583" s="75"/>
      <c r="P583" s="75"/>
      <c r="Q583" s="75"/>
      <c r="R583" s="75"/>
      <c r="S583" s="75"/>
      <c r="T583" s="75"/>
      <c r="U583" s="75"/>
      <c r="V583" s="77"/>
      <c r="W583" s="75"/>
      <c r="X583" s="75"/>
      <c r="Y583" s="75"/>
      <c r="Z583" s="78"/>
      <c r="AA583" s="78"/>
      <c r="AB583" s="75"/>
      <c r="AJ583" s="72"/>
    </row>
    <row r="584" spans="2:36" s="69" customFormat="1" x14ac:dyDescent="0.25">
      <c r="B584" s="75"/>
      <c r="C584" s="76"/>
      <c r="D584" s="76"/>
      <c r="E584" s="75"/>
      <c r="F584" s="75"/>
      <c r="G584" s="75"/>
      <c r="H584" s="75"/>
      <c r="I584" s="75"/>
      <c r="J584" s="75"/>
      <c r="K584" s="75"/>
      <c r="L584" s="75"/>
      <c r="M584" s="75"/>
      <c r="N584" s="75"/>
      <c r="O584" s="75"/>
      <c r="P584" s="75"/>
      <c r="Q584" s="75"/>
      <c r="R584" s="75"/>
      <c r="S584" s="75"/>
      <c r="T584" s="75"/>
      <c r="U584" s="75"/>
      <c r="V584" s="77"/>
      <c r="W584" s="75"/>
      <c r="X584" s="75"/>
      <c r="Y584" s="75"/>
      <c r="Z584" s="78"/>
      <c r="AA584" s="78"/>
      <c r="AB584" s="75"/>
      <c r="AJ584" s="72"/>
    </row>
    <row r="585" spans="2:36" s="69" customFormat="1" x14ac:dyDescent="0.25">
      <c r="B585" s="75"/>
      <c r="C585" s="76"/>
      <c r="D585" s="76"/>
      <c r="E585" s="75"/>
      <c r="F585" s="75"/>
      <c r="G585" s="75"/>
      <c r="H585" s="75"/>
      <c r="I585" s="75"/>
      <c r="J585" s="75"/>
      <c r="K585" s="75"/>
      <c r="L585" s="75"/>
      <c r="M585" s="75"/>
      <c r="N585" s="75"/>
      <c r="O585" s="75"/>
      <c r="P585" s="75"/>
      <c r="Q585" s="75"/>
      <c r="R585" s="75"/>
      <c r="S585" s="75"/>
      <c r="T585" s="75"/>
      <c r="U585" s="75"/>
      <c r="V585" s="77"/>
      <c r="W585" s="75"/>
      <c r="X585" s="75"/>
      <c r="Y585" s="75"/>
      <c r="Z585" s="78"/>
      <c r="AA585" s="78"/>
      <c r="AB585" s="75"/>
      <c r="AJ585" s="72"/>
    </row>
    <row r="586" spans="2:36" s="69" customFormat="1" x14ac:dyDescent="0.25">
      <c r="B586" s="75"/>
      <c r="C586" s="76"/>
      <c r="D586" s="76"/>
      <c r="E586" s="75"/>
      <c r="F586" s="75"/>
      <c r="G586" s="75"/>
      <c r="H586" s="75"/>
      <c r="I586" s="75"/>
      <c r="J586" s="75"/>
      <c r="K586" s="75"/>
      <c r="L586" s="75"/>
      <c r="M586" s="75"/>
      <c r="N586" s="75"/>
      <c r="O586" s="75"/>
      <c r="P586" s="75"/>
      <c r="Q586" s="75"/>
      <c r="R586" s="75"/>
      <c r="S586" s="75"/>
      <c r="T586" s="75"/>
      <c r="U586" s="75"/>
      <c r="V586" s="77"/>
      <c r="W586" s="75"/>
      <c r="X586" s="75"/>
      <c r="Y586" s="75"/>
      <c r="Z586" s="78"/>
      <c r="AA586" s="78"/>
      <c r="AB586" s="75"/>
      <c r="AJ586" s="72"/>
    </row>
    <row r="587" spans="2:36" s="69" customFormat="1" x14ac:dyDescent="0.25">
      <c r="B587" s="75"/>
      <c r="C587" s="76"/>
      <c r="D587" s="76"/>
      <c r="E587" s="75"/>
      <c r="F587" s="75"/>
      <c r="G587" s="75"/>
      <c r="H587" s="75"/>
      <c r="I587" s="75"/>
      <c r="J587" s="75"/>
      <c r="K587" s="75"/>
      <c r="L587" s="75"/>
      <c r="M587" s="75"/>
      <c r="N587" s="75"/>
      <c r="O587" s="75"/>
      <c r="P587" s="75"/>
      <c r="Q587" s="75"/>
      <c r="R587" s="75"/>
      <c r="S587" s="75"/>
      <c r="T587" s="75"/>
      <c r="U587" s="75"/>
      <c r="V587" s="77"/>
      <c r="W587" s="75"/>
      <c r="X587" s="75"/>
      <c r="Y587" s="75"/>
      <c r="Z587" s="78"/>
      <c r="AA587" s="78"/>
      <c r="AB587" s="75"/>
      <c r="AJ587" s="72"/>
    </row>
    <row r="588" spans="2:36" s="69" customFormat="1" x14ac:dyDescent="0.25">
      <c r="B588" s="75"/>
      <c r="C588" s="76"/>
      <c r="D588" s="76"/>
      <c r="E588" s="75"/>
      <c r="F588" s="75"/>
      <c r="G588" s="75"/>
      <c r="H588" s="75"/>
      <c r="I588" s="75"/>
      <c r="J588" s="75"/>
      <c r="K588" s="75"/>
      <c r="L588" s="75"/>
      <c r="M588" s="75"/>
      <c r="N588" s="75"/>
      <c r="O588" s="75"/>
      <c r="P588" s="75"/>
      <c r="Q588" s="75"/>
      <c r="R588" s="75"/>
      <c r="S588" s="75"/>
      <c r="T588" s="75"/>
      <c r="U588" s="75"/>
      <c r="V588" s="77"/>
      <c r="W588" s="75"/>
      <c r="X588" s="75"/>
      <c r="Y588" s="75"/>
      <c r="Z588" s="78"/>
      <c r="AA588" s="78"/>
      <c r="AB588" s="75"/>
      <c r="AJ588" s="72"/>
    </row>
    <row r="589" spans="2:36" s="69" customFormat="1" x14ac:dyDescent="0.25">
      <c r="B589" s="75"/>
      <c r="C589" s="76"/>
      <c r="D589" s="76"/>
      <c r="E589" s="75"/>
      <c r="F589" s="75"/>
      <c r="G589" s="75"/>
      <c r="H589" s="75"/>
      <c r="I589" s="75"/>
      <c r="J589" s="75"/>
      <c r="K589" s="75"/>
      <c r="L589" s="75"/>
      <c r="M589" s="75"/>
      <c r="N589" s="75"/>
      <c r="O589" s="75"/>
      <c r="P589" s="75"/>
      <c r="Q589" s="75"/>
      <c r="R589" s="75"/>
      <c r="S589" s="75"/>
      <c r="T589" s="75"/>
      <c r="U589" s="75"/>
      <c r="V589" s="77"/>
      <c r="W589" s="75"/>
      <c r="X589" s="75"/>
      <c r="Y589" s="75"/>
      <c r="Z589" s="78"/>
      <c r="AA589" s="78"/>
      <c r="AB589" s="75"/>
      <c r="AJ589" s="72"/>
    </row>
    <row r="590" spans="2:36" s="69" customFormat="1" x14ac:dyDescent="0.25">
      <c r="B590" s="75"/>
      <c r="C590" s="76"/>
      <c r="D590" s="76"/>
      <c r="E590" s="75"/>
      <c r="F590" s="75"/>
      <c r="G590" s="75"/>
      <c r="H590" s="75"/>
      <c r="I590" s="75"/>
      <c r="J590" s="75"/>
      <c r="K590" s="75"/>
      <c r="L590" s="75"/>
      <c r="M590" s="75"/>
      <c r="N590" s="75"/>
      <c r="O590" s="75"/>
      <c r="P590" s="75"/>
      <c r="Q590" s="75"/>
      <c r="R590" s="75"/>
      <c r="S590" s="75"/>
      <c r="T590" s="75"/>
      <c r="U590" s="75"/>
      <c r="V590" s="77"/>
      <c r="W590" s="75"/>
      <c r="X590" s="75"/>
      <c r="Y590" s="75"/>
      <c r="Z590" s="78"/>
      <c r="AA590" s="78"/>
      <c r="AB590" s="75"/>
      <c r="AJ590" s="72"/>
    </row>
    <row r="591" spans="2:36" s="69" customFormat="1" x14ac:dyDescent="0.25">
      <c r="B591" s="75"/>
      <c r="C591" s="76"/>
      <c r="D591" s="76"/>
      <c r="E591" s="75"/>
      <c r="F591" s="75"/>
      <c r="G591" s="75"/>
      <c r="H591" s="75"/>
      <c r="I591" s="75"/>
      <c r="J591" s="75"/>
      <c r="K591" s="75"/>
      <c r="L591" s="75"/>
      <c r="M591" s="75"/>
      <c r="N591" s="75"/>
      <c r="O591" s="75"/>
      <c r="P591" s="75"/>
      <c r="Q591" s="75"/>
      <c r="R591" s="75"/>
      <c r="S591" s="75"/>
      <c r="T591" s="75"/>
      <c r="U591" s="75"/>
      <c r="V591" s="77"/>
      <c r="W591" s="75"/>
      <c r="X591" s="75"/>
      <c r="Y591" s="75"/>
      <c r="Z591" s="78"/>
      <c r="AA591" s="78"/>
      <c r="AB591" s="75"/>
      <c r="AJ591" s="72"/>
    </row>
    <row r="592" spans="2:36" s="69" customFormat="1" x14ac:dyDescent="0.25">
      <c r="B592" s="75"/>
      <c r="C592" s="76"/>
      <c r="D592" s="76"/>
      <c r="E592" s="75"/>
      <c r="F592" s="75"/>
      <c r="G592" s="75"/>
      <c r="H592" s="75"/>
      <c r="I592" s="75"/>
      <c r="J592" s="75"/>
      <c r="K592" s="75"/>
      <c r="L592" s="75"/>
      <c r="M592" s="75"/>
      <c r="N592" s="75"/>
      <c r="O592" s="75"/>
      <c r="P592" s="75"/>
      <c r="Q592" s="75"/>
      <c r="R592" s="75"/>
      <c r="S592" s="75"/>
      <c r="T592" s="75"/>
      <c r="U592" s="75"/>
      <c r="V592" s="77"/>
      <c r="W592" s="75"/>
      <c r="X592" s="75"/>
      <c r="Y592" s="75"/>
      <c r="Z592" s="78"/>
      <c r="AA592" s="78"/>
      <c r="AB592" s="75"/>
      <c r="AJ592" s="72"/>
    </row>
    <row r="593" spans="2:36" s="69" customFormat="1" x14ac:dyDescent="0.25">
      <c r="C593" s="70"/>
      <c r="D593" s="70"/>
      <c r="V593" s="71"/>
      <c r="Z593" s="73"/>
      <c r="AA593" s="73"/>
      <c r="AJ593" s="72"/>
    </row>
    <row r="594" spans="2:36" s="69" customFormat="1" x14ac:dyDescent="0.25">
      <c r="C594" s="70"/>
      <c r="D594" s="70"/>
      <c r="V594" s="71"/>
      <c r="Z594" s="73"/>
      <c r="AA594" s="73"/>
      <c r="AJ594" s="72"/>
    </row>
    <row r="595" spans="2:36" s="69" customFormat="1" x14ac:dyDescent="0.25">
      <c r="C595" s="70"/>
      <c r="D595" s="70"/>
      <c r="V595" s="71"/>
      <c r="Z595" s="73"/>
      <c r="AA595" s="73"/>
      <c r="AJ595" s="72"/>
    </row>
    <row r="596" spans="2:36" s="69" customFormat="1" x14ac:dyDescent="0.25">
      <c r="C596" s="70"/>
      <c r="D596" s="70"/>
      <c r="V596" s="71"/>
      <c r="Z596" s="73"/>
      <c r="AA596" s="73"/>
      <c r="AJ596" s="72"/>
    </row>
    <row r="597" spans="2:36" x14ac:dyDescent="0.25">
      <c r="B597" s="24"/>
      <c r="C597" s="25"/>
      <c r="D597" s="25"/>
      <c r="E597" s="24"/>
      <c r="F597" s="24"/>
      <c r="G597" s="24"/>
      <c r="H597" s="24"/>
      <c r="I597" s="24"/>
      <c r="J597" s="24"/>
      <c r="K597" s="24"/>
      <c r="L597" s="24"/>
      <c r="M597" s="24"/>
      <c r="N597" s="24"/>
      <c r="O597" s="24"/>
      <c r="P597" s="24"/>
      <c r="Q597" s="24"/>
      <c r="R597" s="24"/>
      <c r="S597" s="24"/>
      <c r="T597" s="24"/>
      <c r="U597" s="24"/>
      <c r="V597" s="26"/>
    </row>
    <row r="598" spans="2:36" x14ac:dyDescent="0.25">
      <c r="B598" s="24"/>
      <c r="C598" s="25"/>
      <c r="D598" s="25"/>
      <c r="E598" s="24"/>
      <c r="F598" s="24"/>
      <c r="G598" s="24"/>
      <c r="H598" s="24"/>
      <c r="I598" s="24"/>
      <c r="J598" s="24"/>
      <c r="K598" s="24"/>
      <c r="L598" s="24"/>
      <c r="M598" s="24"/>
      <c r="N598" s="24"/>
      <c r="O598" s="24"/>
      <c r="P598" s="24"/>
      <c r="Q598" s="24"/>
      <c r="R598" s="24"/>
      <c r="S598" s="24"/>
      <c r="T598" s="24"/>
      <c r="U598" s="24"/>
      <c r="V598" s="26"/>
    </row>
    <row r="599" spans="2:36" x14ac:dyDescent="0.25">
      <c r="B599" s="24"/>
      <c r="C599" s="25"/>
      <c r="D599" s="25"/>
      <c r="E599" s="24"/>
      <c r="F599" s="24"/>
      <c r="G599" s="24"/>
      <c r="H599" s="24"/>
      <c r="I599" s="24"/>
      <c r="J599" s="24"/>
      <c r="K599" s="24"/>
      <c r="L599" s="24"/>
      <c r="M599" s="24"/>
      <c r="N599" s="24"/>
      <c r="O599" s="24"/>
      <c r="P599" s="24"/>
      <c r="Q599" s="24"/>
      <c r="R599" s="24"/>
      <c r="S599" s="24"/>
      <c r="T599" s="24"/>
      <c r="U599" s="24"/>
      <c r="V599" s="26"/>
    </row>
    <row r="600" spans="2:36" x14ac:dyDescent="0.25">
      <c r="B600" s="24"/>
      <c r="C600" s="25"/>
      <c r="D600" s="25"/>
      <c r="E600" s="24"/>
      <c r="F600" s="24"/>
      <c r="G600" s="24"/>
      <c r="H600" s="24"/>
      <c r="I600" s="24"/>
      <c r="J600" s="24"/>
      <c r="K600" s="24"/>
      <c r="L600" s="24"/>
      <c r="M600" s="24"/>
      <c r="N600" s="24"/>
      <c r="O600" s="24"/>
      <c r="P600" s="24"/>
      <c r="Q600" s="24"/>
      <c r="R600" s="24"/>
      <c r="S600" s="24"/>
      <c r="T600" s="24"/>
      <c r="U600" s="24"/>
      <c r="V600" s="26"/>
    </row>
    <row r="601" spans="2:36" x14ac:dyDescent="0.25">
      <c r="B601" s="24"/>
      <c r="C601" s="25"/>
      <c r="D601" s="25"/>
      <c r="E601" s="24"/>
      <c r="F601" s="24"/>
      <c r="G601" s="24"/>
      <c r="H601" s="24"/>
      <c r="I601" s="24"/>
      <c r="J601" s="24"/>
      <c r="K601" s="24"/>
      <c r="L601" s="24"/>
      <c r="M601" s="24"/>
      <c r="N601" s="24"/>
      <c r="O601" s="24"/>
      <c r="P601" s="24"/>
      <c r="Q601" s="24"/>
      <c r="R601" s="24"/>
      <c r="S601" s="24"/>
      <c r="T601" s="24"/>
      <c r="U601" s="24"/>
      <c r="V601" s="26"/>
    </row>
    <row r="602" spans="2:36" x14ac:dyDescent="0.25">
      <c r="B602" s="24"/>
      <c r="C602" s="25"/>
      <c r="D602" s="25"/>
      <c r="E602" s="24"/>
      <c r="F602" s="24"/>
      <c r="G602" s="24"/>
      <c r="H602" s="24"/>
      <c r="I602" s="24"/>
      <c r="J602" s="24"/>
      <c r="K602" s="24"/>
      <c r="L602" s="24"/>
      <c r="M602" s="24"/>
      <c r="N602" s="24"/>
      <c r="O602" s="24"/>
      <c r="P602" s="24"/>
      <c r="Q602" s="24"/>
      <c r="R602" s="24"/>
      <c r="S602" s="24"/>
      <c r="T602" s="24"/>
      <c r="U602" s="24"/>
      <c r="V602" s="26"/>
    </row>
  </sheetData>
  <sheetProtection selectLockedCells="1"/>
  <mergeCells count="25">
    <mergeCell ref="I332:J332"/>
    <mergeCell ref="K332:L332"/>
    <mergeCell ref="O332:P332"/>
    <mergeCell ref="Q332:U332"/>
    <mergeCell ref="I333:J333"/>
    <mergeCell ref="K333:L333"/>
    <mergeCell ref="O333:P333"/>
    <mergeCell ref="Q333:U333"/>
    <mergeCell ref="O6:P6"/>
    <mergeCell ref="Q6:U6"/>
    <mergeCell ref="E326:G326"/>
    <mergeCell ref="I331:J331"/>
    <mergeCell ref="K331:L331"/>
    <mergeCell ref="O331:P331"/>
    <mergeCell ref="Q331:U331"/>
    <mergeCell ref="B2:V2"/>
    <mergeCell ref="E4:V4"/>
    <mergeCell ref="E5:G6"/>
    <mergeCell ref="I5:J5"/>
    <mergeCell ref="K5:L5"/>
    <mergeCell ref="O5:P5"/>
    <mergeCell ref="Q5:U5"/>
    <mergeCell ref="V5:V6"/>
    <mergeCell ref="I6:J6"/>
    <mergeCell ref="K6:L6"/>
  </mergeCells>
  <conditionalFormatting sqref="G8:G325">
    <cfRule type="expression" dxfId="149" priority="6">
      <formula>$G8&lt;&gt;""</formula>
    </cfRule>
  </conditionalFormatting>
  <conditionalFormatting sqref="M332:O332 K332 H332:I332 Q332">
    <cfRule type="cellIs" dxfId="148" priority="3" operator="greaterThanOrEqual">
      <formula>0.9</formula>
    </cfRule>
    <cfRule type="cellIs" dxfId="147" priority="4" operator="between">
      <formula>0.00001</formula>
      <formula>0.499999</formula>
    </cfRule>
    <cfRule type="cellIs" dxfId="146" priority="5" operator="between">
      <formula>0.5</formula>
      <formula>0.89999</formula>
    </cfRule>
  </conditionalFormatting>
  <conditionalFormatting sqref="K332:K333 H332:I332 M332:O333 Q332:Q333">
    <cfRule type="containsErrors" dxfId="145" priority="7">
      <formula>ISERROR(H332)</formula>
    </cfRule>
  </conditionalFormatting>
  <conditionalFormatting sqref="H333:I333">
    <cfRule type="containsErrors" dxfId="144" priority="2">
      <formula>ISERROR(H333)</formula>
    </cfRule>
  </conditionalFormatting>
  <conditionalFormatting sqref="G8:G325">
    <cfRule type="expression" dxfId="143" priority="1">
      <formula>$G8=FALSE</formula>
    </cfRule>
  </conditionalFormatting>
  <pageMargins left="0.25" right="0.25" top="0.75" bottom="0.75" header="0.3" footer="0.3"/>
  <pageSetup scale="78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A8AFE8B1-D256-4223-A025-858382E4C886}">
          <x14:formula1>
            <xm:f>Données!$N$1:$N$4</xm:f>
          </x14:formula1>
          <xm:sqref>G8 G11</xm:sqref>
        </x14:dataValidation>
        <x14:dataValidation type="list" allowBlank="1" showInputMessage="1" showErrorMessage="1" xr:uid="{19C9D00E-39A0-43AC-9A88-5B0D2EE05588}">
          <x14:formula1>
            <xm:f>Données!$N$1:$N$4</xm:f>
          </x14:formula1>
          <xm:sqref>G9:G10 G12:G325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07943B-5E3D-4E0C-B255-8DA2B715183B}">
  <sheetPr codeName="Feuil21">
    <tabColor theme="9"/>
    <pageSetUpPr fitToPage="1"/>
  </sheetPr>
  <dimension ref="A1:AL602"/>
  <sheetViews>
    <sheetView showGridLines="0" zoomScaleNormal="100" workbookViewId="0">
      <selection activeCell="H6" sqref="H6"/>
    </sheetView>
  </sheetViews>
  <sheetFormatPr baseColWidth="10" defaultColWidth="11.42578125" defaultRowHeight="15" x14ac:dyDescent="0.25"/>
  <cols>
    <col min="1" max="1" width="2.7109375" style="69" customWidth="1"/>
    <col min="2" max="2" width="23.5703125" style="3" customWidth="1"/>
    <col min="3" max="3" width="22.42578125" style="4" hidden="1" customWidth="1"/>
    <col min="4" max="4" width="25.140625" style="4" hidden="1" customWidth="1"/>
    <col min="5" max="5" width="15" style="3" customWidth="1"/>
    <col min="6" max="6" width="12.42578125" style="3" hidden="1" customWidth="1"/>
    <col min="7" max="7" width="6" style="3" customWidth="1"/>
    <col min="8" max="8" width="10.7109375" style="3" customWidth="1"/>
    <col min="9" max="21" width="7.85546875" style="3" customWidth="1"/>
    <col min="22" max="22" width="32.28515625" style="1" customWidth="1"/>
    <col min="23" max="23" width="4.140625" style="69" customWidth="1"/>
    <col min="24" max="25" width="11.42578125" style="69"/>
    <col min="26" max="27" width="11.42578125" style="73"/>
    <col min="28" max="35" width="11.42578125" style="69"/>
    <col min="36" max="36" width="11.42578125" style="72"/>
    <col min="37" max="16384" width="11.42578125" style="3"/>
  </cols>
  <sheetData>
    <row r="1" spans="1:38" s="69" customFormat="1" ht="3" customHeight="1" x14ac:dyDescent="0.25">
      <c r="A1" s="75"/>
      <c r="B1" s="75"/>
      <c r="C1" s="76"/>
      <c r="D1" s="76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7"/>
      <c r="W1" s="75"/>
      <c r="X1" s="75"/>
      <c r="Y1" s="75"/>
      <c r="Z1" s="96"/>
      <c r="AA1" s="96">
        <v>32158</v>
      </c>
      <c r="AB1" s="75"/>
      <c r="AC1" s="75"/>
      <c r="AD1" s="75"/>
      <c r="AE1" s="75"/>
      <c r="AF1" s="75"/>
      <c r="AG1" s="75"/>
      <c r="AH1" s="75"/>
      <c r="AI1" s="137"/>
      <c r="AJ1" s="79"/>
      <c r="AK1" s="75"/>
    </row>
    <row r="2" spans="1:38" ht="46.5" x14ac:dyDescent="0.25">
      <c r="A2" s="75"/>
      <c r="B2" s="160" t="s">
        <v>85</v>
      </c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161"/>
      <c r="V2" s="162"/>
      <c r="W2" s="75"/>
      <c r="X2" s="75"/>
      <c r="Y2" s="75"/>
      <c r="Z2" s="96"/>
      <c r="AA2" s="96"/>
      <c r="AB2" s="75"/>
      <c r="AC2" s="75"/>
      <c r="AD2" s="75"/>
      <c r="AE2" s="75"/>
      <c r="AF2" s="75"/>
      <c r="AG2" s="75"/>
      <c r="AH2" s="75"/>
      <c r="AI2" s="75"/>
      <c r="AJ2" s="79"/>
      <c r="AK2" s="75"/>
      <c r="AL2" s="75"/>
    </row>
    <row r="3" spans="1:38" s="69" customFormat="1" ht="3" customHeight="1" x14ac:dyDescent="0.25">
      <c r="A3" s="75"/>
      <c r="B3" s="75"/>
      <c r="C3" s="76"/>
      <c r="D3" s="76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7"/>
      <c r="W3" s="75"/>
      <c r="X3" s="75"/>
      <c r="Y3" s="75"/>
      <c r="Z3" s="96"/>
      <c r="AA3" s="96"/>
      <c r="AB3" s="75"/>
      <c r="AC3" s="75"/>
      <c r="AD3" s="75"/>
      <c r="AE3" s="75"/>
      <c r="AF3" s="75"/>
      <c r="AG3" s="75"/>
      <c r="AH3" s="75"/>
      <c r="AI3" s="75"/>
      <c r="AJ3" s="81"/>
      <c r="AK3" s="75"/>
      <c r="AL3" s="75"/>
    </row>
    <row r="4" spans="1:38" ht="46.5" customHeight="1" x14ac:dyDescent="0.25">
      <c r="A4" s="75"/>
      <c r="B4" s="75"/>
      <c r="C4" s="50"/>
      <c r="D4" s="50"/>
      <c r="E4" s="163" t="s">
        <v>127</v>
      </c>
      <c r="F4" s="164"/>
      <c r="G4" s="164"/>
      <c r="H4" s="164"/>
      <c r="I4" s="164"/>
      <c r="J4" s="164"/>
      <c r="K4" s="164"/>
      <c r="L4" s="164"/>
      <c r="M4" s="164"/>
      <c r="N4" s="164"/>
      <c r="O4" s="164"/>
      <c r="P4" s="164"/>
      <c r="Q4" s="164"/>
      <c r="R4" s="164"/>
      <c r="S4" s="164"/>
      <c r="T4" s="164"/>
      <c r="U4" s="164"/>
      <c r="V4" s="165"/>
      <c r="W4" s="75"/>
      <c r="X4" s="75"/>
      <c r="Y4" s="75"/>
      <c r="Z4" s="96"/>
      <c r="AA4" s="96"/>
      <c r="AB4" s="75"/>
      <c r="AC4" s="75"/>
      <c r="AD4" s="75"/>
      <c r="AE4" s="75"/>
      <c r="AF4" s="75"/>
      <c r="AG4" s="75"/>
      <c r="AH4" s="75"/>
      <c r="AI4" s="75"/>
      <c r="AJ4" s="81"/>
      <c r="AK4" s="75"/>
      <c r="AL4" s="75"/>
    </row>
    <row r="5" spans="1:38" ht="30.75" customHeight="1" x14ac:dyDescent="0.25">
      <c r="A5" s="75"/>
      <c r="B5" s="75"/>
      <c r="C5" s="50"/>
      <c r="D5" s="50"/>
      <c r="E5" s="166" t="s">
        <v>3</v>
      </c>
      <c r="F5" s="167"/>
      <c r="G5" s="168"/>
      <c r="H5" s="147">
        <v>10</v>
      </c>
      <c r="I5" s="172">
        <v>10</v>
      </c>
      <c r="J5" s="173"/>
      <c r="K5" s="172">
        <v>10</v>
      </c>
      <c r="L5" s="173"/>
      <c r="M5" s="151">
        <v>10</v>
      </c>
      <c r="N5" s="151">
        <v>10</v>
      </c>
      <c r="O5" s="172">
        <v>10</v>
      </c>
      <c r="P5" s="173"/>
      <c r="Q5" s="172">
        <v>10</v>
      </c>
      <c r="R5" s="183"/>
      <c r="S5" s="183"/>
      <c r="T5" s="183"/>
      <c r="U5" s="173"/>
      <c r="V5" s="184">
        <v>5</v>
      </c>
      <c r="W5" s="81"/>
      <c r="X5" s="75"/>
      <c r="Y5" s="75"/>
      <c r="Z5" s="96"/>
      <c r="AA5" s="96"/>
      <c r="AB5" s="75"/>
      <c r="AC5" s="75"/>
      <c r="AD5" s="75"/>
      <c r="AE5" s="75"/>
      <c r="AF5" s="75"/>
      <c r="AG5" s="75"/>
      <c r="AH5" s="75"/>
      <c r="AI5" s="75"/>
      <c r="AJ5" s="81"/>
      <c r="AK5" s="75"/>
      <c r="AL5" s="75"/>
    </row>
    <row r="6" spans="1:38" ht="30.75" customHeight="1" x14ac:dyDescent="0.25">
      <c r="A6" s="75"/>
      <c r="B6" s="75"/>
      <c r="C6" s="50"/>
      <c r="D6" s="50"/>
      <c r="E6" s="169"/>
      <c r="F6" s="170"/>
      <c r="G6" s="171"/>
      <c r="H6" s="150" t="s">
        <v>100</v>
      </c>
      <c r="I6" s="174" t="s">
        <v>101</v>
      </c>
      <c r="J6" s="175"/>
      <c r="K6" s="176" t="s">
        <v>102</v>
      </c>
      <c r="L6" s="177"/>
      <c r="M6" s="156" t="s">
        <v>103</v>
      </c>
      <c r="N6" s="156" t="s">
        <v>104</v>
      </c>
      <c r="O6" s="178" t="s">
        <v>105</v>
      </c>
      <c r="P6" s="179"/>
      <c r="Q6" s="180" t="s">
        <v>106</v>
      </c>
      <c r="R6" s="181"/>
      <c r="S6" s="181"/>
      <c r="T6" s="181"/>
      <c r="U6" s="182"/>
      <c r="V6" s="185"/>
      <c r="W6" s="81"/>
      <c r="X6" s="75"/>
      <c r="Y6" s="75"/>
      <c r="Z6" s="96"/>
      <c r="AA6" s="96"/>
      <c r="AB6" s="75"/>
      <c r="AC6" s="75"/>
      <c r="AD6" s="75"/>
      <c r="AE6" s="75"/>
      <c r="AF6" s="75"/>
      <c r="AG6" s="75"/>
      <c r="AH6" s="75"/>
      <c r="AI6" s="75"/>
      <c r="AJ6" s="81"/>
      <c r="AK6" s="75"/>
      <c r="AL6" s="75"/>
    </row>
    <row r="7" spans="1:38" s="1" customFormat="1" ht="87" customHeight="1" x14ac:dyDescent="0.25">
      <c r="A7" s="77"/>
      <c r="B7" s="138"/>
      <c r="C7" s="32" t="s">
        <v>10</v>
      </c>
      <c r="D7" s="33" t="s">
        <v>82</v>
      </c>
      <c r="E7" s="86" t="s">
        <v>11</v>
      </c>
      <c r="F7" s="34" t="s">
        <v>12</v>
      </c>
      <c r="G7" s="86" t="s">
        <v>13</v>
      </c>
      <c r="H7" s="146" t="s">
        <v>107</v>
      </c>
      <c r="I7" s="145" t="s">
        <v>108</v>
      </c>
      <c r="J7" s="145" t="s">
        <v>109</v>
      </c>
      <c r="K7" s="139" t="s">
        <v>110</v>
      </c>
      <c r="L7" s="139" t="s">
        <v>111</v>
      </c>
      <c r="M7" s="144" t="s">
        <v>112</v>
      </c>
      <c r="N7" s="144" t="s">
        <v>113</v>
      </c>
      <c r="O7" s="140" t="s">
        <v>114</v>
      </c>
      <c r="P7" s="141" t="s">
        <v>115</v>
      </c>
      <c r="Q7" s="142" t="s">
        <v>116</v>
      </c>
      <c r="R7" s="142" t="s">
        <v>117</v>
      </c>
      <c r="S7" s="142" t="s">
        <v>118</v>
      </c>
      <c r="T7" s="142" t="s">
        <v>119</v>
      </c>
      <c r="U7" s="142" t="s">
        <v>120</v>
      </c>
      <c r="V7" s="86" t="s">
        <v>15</v>
      </c>
      <c r="W7" s="77"/>
      <c r="X7" s="77"/>
      <c r="Y7" s="77"/>
      <c r="Z7" s="97"/>
      <c r="AA7" s="97"/>
      <c r="AB7" s="77"/>
      <c r="AC7" s="77"/>
      <c r="AD7" s="77"/>
      <c r="AE7" s="77"/>
      <c r="AF7" s="77"/>
      <c r="AG7" s="77"/>
      <c r="AH7" s="77"/>
      <c r="AI7" s="77"/>
      <c r="AJ7" s="94"/>
      <c r="AK7" s="77"/>
      <c r="AL7" s="77"/>
    </row>
    <row r="8" spans="1:38" x14ac:dyDescent="0.25">
      <c r="A8" s="75"/>
      <c r="B8" s="75"/>
      <c r="C8" s="35">
        <f>INDEX(Données!$F$2:$L$54,MATCH(F8,Données!$F$2:$F$54,0),2)</f>
        <v>43829</v>
      </c>
      <c r="D8" s="28" t="str">
        <f t="shared" ref="D8:D71" si="0">$E$4</f>
        <v>#5</v>
      </c>
      <c r="E8" s="5">
        <f>Données!G2</f>
        <v>43829</v>
      </c>
      <c r="F8" s="10" t="str">
        <f>INDEX(Données!$F$2:$L$54,MATCH('#5'!E8,Données!$G$2:$G$54,1),1)</f>
        <v>1</v>
      </c>
      <c r="G8" s="18" t="str">
        <f t="shared" ref="G8:G71" si="1">IF(AND($V$5=1),"PS-1",IF(AND($V$5=2),"PS-2",IF(AND($V$5=4),"PS-4",IF(AND($V$5=6),"S.O.",IF(AND($V$5=5),"")))))</f>
        <v/>
      </c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9"/>
      <c r="W8" s="75"/>
      <c r="X8" s="75"/>
      <c r="Y8" s="75"/>
      <c r="Z8" s="96">
        <f>SUM(Tableau16[[#This Row],[A-1]:[G-5]])</f>
        <v>0</v>
      </c>
      <c r="AA8" s="96" t="str">
        <f>IF(AND(Z8&gt;0,Tableau16[[#This Row],[CDS]]=""),"Oui","Non")</f>
        <v>Non</v>
      </c>
      <c r="AB8" s="75"/>
      <c r="AC8" s="75"/>
      <c r="AD8" s="75"/>
      <c r="AE8" s="75"/>
      <c r="AF8" s="75"/>
      <c r="AG8" s="75"/>
      <c r="AH8" s="75"/>
      <c r="AI8" s="75"/>
      <c r="AJ8" s="81"/>
      <c r="AK8" s="75"/>
      <c r="AL8" s="75"/>
    </row>
    <row r="9" spans="1:38" x14ac:dyDescent="0.25">
      <c r="A9" s="75"/>
      <c r="B9" s="75"/>
      <c r="C9" s="35">
        <f>INDEX(Données!$F$2:$L$54,MATCH(F9,Données!$F$2:$F$54,0),2)</f>
        <v>43829</v>
      </c>
      <c r="D9" s="29" t="str">
        <f t="shared" si="0"/>
        <v>#5</v>
      </c>
      <c r="E9" s="7">
        <f>Données!H2</f>
        <v>43830</v>
      </c>
      <c r="F9" s="6" t="str">
        <f>INDEX(Données!$F$2:$L$54,MATCH('#5'!E9,Données!$G$2:$G$54,1),1)</f>
        <v>1</v>
      </c>
      <c r="G9" s="18" t="str">
        <f t="shared" si="1"/>
        <v/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1"/>
      <c r="W9" s="75"/>
      <c r="X9" s="75"/>
      <c r="Y9" s="75"/>
      <c r="Z9" s="96">
        <f>SUM(Tableau16[[#This Row],[A-1]:[G-5]])</f>
        <v>0</v>
      </c>
      <c r="AA9" s="96" t="str">
        <f>IF(AND(Z9&gt;0,Tableau16[[#This Row],[CDS]]=""),"Oui","Non")</f>
        <v>Non</v>
      </c>
      <c r="AB9" s="75"/>
      <c r="AC9" s="75"/>
      <c r="AD9" s="75"/>
      <c r="AE9" s="75"/>
      <c r="AF9" s="75"/>
      <c r="AG9" s="75"/>
      <c r="AH9" s="75"/>
      <c r="AI9" s="75"/>
      <c r="AJ9" s="81"/>
      <c r="AK9" s="75"/>
      <c r="AL9" s="75"/>
    </row>
    <row r="10" spans="1:38" x14ac:dyDescent="0.25">
      <c r="A10" s="75"/>
      <c r="B10" s="75"/>
      <c r="C10" s="35">
        <f>INDEX(Données!$F$2:$L$54,MATCH(F10,Données!$F$2:$F$54,0),2)</f>
        <v>43829</v>
      </c>
      <c r="D10" s="29" t="str">
        <f t="shared" si="0"/>
        <v>#5</v>
      </c>
      <c r="E10" s="7">
        <f>Données!I2</f>
        <v>43831</v>
      </c>
      <c r="F10" s="6" t="str">
        <f>INDEX(Données!$F$2:$L$54,MATCH('#5'!E10,Données!$G$2:$G$54,1),1)</f>
        <v>1</v>
      </c>
      <c r="G10" s="18" t="str">
        <f t="shared" si="1"/>
        <v/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1"/>
      <c r="W10" s="75"/>
      <c r="X10" s="75"/>
      <c r="Y10" s="75"/>
      <c r="Z10" s="96">
        <f>SUM(Tableau16[[#This Row],[A-1]:[G-5]])</f>
        <v>0</v>
      </c>
      <c r="AA10" s="96" t="str">
        <f>IF(AND(Z10&gt;0,Tableau16[[#This Row],[CDS]]=""),"Oui","Non")</f>
        <v>Non</v>
      </c>
      <c r="AB10" s="75"/>
      <c r="AC10" s="75"/>
      <c r="AD10" s="75"/>
      <c r="AE10" s="75"/>
      <c r="AF10" s="75"/>
      <c r="AG10" s="75"/>
      <c r="AH10" s="75"/>
      <c r="AI10" s="75"/>
      <c r="AJ10" s="81"/>
      <c r="AK10" s="75"/>
      <c r="AL10" s="75"/>
    </row>
    <row r="11" spans="1:38" x14ac:dyDescent="0.25">
      <c r="A11" s="75"/>
      <c r="B11" s="75"/>
      <c r="C11" s="35">
        <f>INDEX(Données!$F$2:$L$54,MATCH(F11,Données!$F$2:$F$54,0),2)</f>
        <v>43829</v>
      </c>
      <c r="D11" s="29" t="str">
        <f t="shared" si="0"/>
        <v>#5</v>
      </c>
      <c r="E11" s="7">
        <f>Données!J2</f>
        <v>43832</v>
      </c>
      <c r="F11" s="6" t="str">
        <f>INDEX(Données!$F$2:$L$54,MATCH('#5'!E11,Données!$G$2:$G$54,1),1)</f>
        <v>1</v>
      </c>
      <c r="G11" s="18" t="str">
        <f t="shared" si="1"/>
        <v/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1"/>
      <c r="W11" s="75"/>
      <c r="X11" s="75"/>
      <c r="Y11" s="75"/>
      <c r="Z11" s="96">
        <f>SUM(Tableau16[[#This Row],[A-1]:[G-5]])</f>
        <v>0</v>
      </c>
      <c r="AA11" s="96" t="str">
        <f>IF(AND(Z11&gt;0,Tableau16[[#This Row],[CDS]]=""),"Oui","Non")</f>
        <v>Non</v>
      </c>
      <c r="AB11" s="75"/>
      <c r="AC11" s="75"/>
      <c r="AD11" s="75"/>
      <c r="AE11" s="75"/>
      <c r="AF11" s="75"/>
      <c r="AG11" s="75"/>
      <c r="AH11" s="75"/>
      <c r="AI11" s="75"/>
      <c r="AJ11" s="81"/>
      <c r="AK11" s="75"/>
      <c r="AL11" s="75"/>
    </row>
    <row r="12" spans="1:38" x14ac:dyDescent="0.25">
      <c r="A12" s="75"/>
      <c r="B12" s="75"/>
      <c r="C12" s="35">
        <f>INDEX(Données!$F$2:$L$54,MATCH(F12,Données!$F$2:$F$54,0),2)</f>
        <v>43829</v>
      </c>
      <c r="D12" s="29" t="str">
        <f t="shared" si="0"/>
        <v>#5</v>
      </c>
      <c r="E12" s="7">
        <f>Données!K2</f>
        <v>43833</v>
      </c>
      <c r="F12" s="6" t="str">
        <f>INDEX(Données!$F$2:$L$54,MATCH('#5'!E12,Données!$G$2:$G$54,1),1)</f>
        <v>1</v>
      </c>
      <c r="G12" s="18" t="str">
        <f t="shared" si="1"/>
        <v/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1"/>
      <c r="W12" s="75"/>
      <c r="X12" s="75"/>
      <c r="Y12" s="75"/>
      <c r="Z12" s="96">
        <f>SUM(Tableau16[[#This Row],[A-1]:[G-5]])</f>
        <v>0</v>
      </c>
      <c r="AA12" s="96" t="str">
        <f>IF(AND(Z12&gt;0,Tableau16[[#This Row],[CDS]]=""),"Oui","Non")</f>
        <v>Non</v>
      </c>
      <c r="AB12" s="75"/>
      <c r="AC12" s="75"/>
      <c r="AD12" s="75"/>
      <c r="AE12" s="75"/>
      <c r="AF12" s="75"/>
      <c r="AG12" s="75"/>
      <c r="AH12" s="75"/>
      <c r="AI12" s="75"/>
      <c r="AJ12" s="81"/>
      <c r="AK12" s="75"/>
      <c r="AL12" s="75"/>
    </row>
    <row r="13" spans="1:38" ht="15.75" thickBot="1" x14ac:dyDescent="0.3">
      <c r="A13" s="75"/>
      <c r="B13" s="75"/>
      <c r="C13" s="35">
        <f>INDEX(Données!$F$2:$L$54,MATCH(F13,Données!$F$2:$F$54,0),2)</f>
        <v>43829</v>
      </c>
      <c r="D13" s="29" t="str">
        <f t="shared" si="0"/>
        <v>#5</v>
      </c>
      <c r="E13" s="7">
        <f>Données!L2</f>
        <v>43834</v>
      </c>
      <c r="F13" s="6" t="str">
        <f>INDEX(Données!$F$2:$L$54,MATCH('#5'!E13,Données!$G$2:$G$54,1),1)</f>
        <v>1</v>
      </c>
      <c r="G13" s="18" t="str">
        <f t="shared" si="1"/>
        <v/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1"/>
      <c r="W13" s="75"/>
      <c r="X13" s="75"/>
      <c r="Y13" s="75"/>
      <c r="Z13" s="96">
        <f>SUM(Tableau16[[#This Row],[A-1]:[G-5]])</f>
        <v>0</v>
      </c>
      <c r="AA13" s="96" t="str">
        <f>IF(AND(Z13&gt;0,Tableau16[[#This Row],[CDS]]=""),"Oui","Non")</f>
        <v>Non</v>
      </c>
      <c r="AB13" s="75"/>
      <c r="AC13" s="75"/>
      <c r="AD13" s="75"/>
      <c r="AE13" s="75"/>
      <c r="AF13" s="75"/>
      <c r="AG13" s="75"/>
      <c r="AH13" s="75"/>
      <c r="AI13" s="75"/>
      <c r="AJ13" s="81"/>
      <c r="AK13" s="75"/>
      <c r="AL13" s="75"/>
    </row>
    <row r="14" spans="1:38" ht="15.75" hidden="1" thickBot="1" x14ac:dyDescent="0.3">
      <c r="A14" s="75"/>
      <c r="B14" s="75"/>
      <c r="C14" s="35">
        <f>INDEX(Données!$F$2:$L$54,MATCH(F14,Données!$F$2:$F$54,0),2)</f>
        <v>43836</v>
      </c>
      <c r="D14" s="29" t="str">
        <f t="shared" si="0"/>
        <v>#5</v>
      </c>
      <c r="E14" s="7">
        <f>Données!G3</f>
        <v>43836</v>
      </c>
      <c r="F14" s="6" t="str">
        <f>INDEX(Données!$F$2:$L$54,MATCH('#5'!E14,Données!$G$2:$G$54,1),1)</f>
        <v>2</v>
      </c>
      <c r="G14" s="18" t="str">
        <f t="shared" si="1"/>
        <v/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1"/>
      <c r="W14" s="75"/>
      <c r="X14" s="75"/>
      <c r="Y14" s="75"/>
      <c r="Z14" s="96">
        <f>SUM(Tableau16[[#This Row],[A-1]:[G-5]])</f>
        <v>0</v>
      </c>
      <c r="AA14" s="96" t="str">
        <f>IF(AND(Z14&gt;0,Tableau16[[#This Row],[CDS]]=""),"Oui","Non")</f>
        <v>Non</v>
      </c>
      <c r="AB14" s="75"/>
      <c r="AC14" s="75"/>
      <c r="AD14" s="75"/>
      <c r="AE14" s="75"/>
      <c r="AF14" s="75"/>
      <c r="AG14" s="75"/>
      <c r="AH14" s="75"/>
      <c r="AI14" s="75"/>
      <c r="AJ14" s="81"/>
      <c r="AK14" s="75"/>
      <c r="AL14" s="75"/>
    </row>
    <row r="15" spans="1:38" ht="15.75" hidden="1" thickBot="1" x14ac:dyDescent="0.3">
      <c r="A15" s="75"/>
      <c r="B15" s="75"/>
      <c r="C15" s="35">
        <f>INDEX(Données!$F$2:$L$54,MATCH(F15,Données!$F$2:$F$54,0),2)</f>
        <v>43836</v>
      </c>
      <c r="D15" s="29" t="str">
        <f t="shared" si="0"/>
        <v>#5</v>
      </c>
      <c r="E15" s="7">
        <f>Données!H3</f>
        <v>43837</v>
      </c>
      <c r="F15" s="6" t="str">
        <f>INDEX(Données!$F$2:$L$54,MATCH('#5'!E15,Données!$G$2:$G$54,1),1)</f>
        <v>2</v>
      </c>
      <c r="G15" s="18" t="str">
        <f t="shared" si="1"/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1"/>
      <c r="W15" s="75"/>
      <c r="X15" s="75"/>
      <c r="Y15" s="75"/>
      <c r="Z15" s="96">
        <f>SUM(Tableau16[[#This Row],[A-1]:[G-5]])</f>
        <v>0</v>
      </c>
      <c r="AA15" s="96" t="str">
        <f>IF(AND(Z15&gt;0,Tableau16[[#This Row],[CDS]]=""),"Oui","Non")</f>
        <v>Non</v>
      </c>
      <c r="AB15" s="75"/>
      <c r="AC15" s="75"/>
      <c r="AD15" s="75"/>
      <c r="AE15" s="75"/>
      <c r="AF15" s="75"/>
      <c r="AG15" s="75"/>
      <c r="AH15" s="75"/>
      <c r="AI15" s="75"/>
      <c r="AJ15" s="81"/>
      <c r="AK15" s="75"/>
      <c r="AL15" s="75"/>
    </row>
    <row r="16" spans="1:38" ht="15.75" hidden="1" thickBot="1" x14ac:dyDescent="0.3">
      <c r="A16" s="75"/>
      <c r="B16" s="75"/>
      <c r="C16" s="35">
        <f>INDEX(Données!$F$2:$L$54,MATCH(F16,Données!$F$2:$F$54,0),2)</f>
        <v>43836</v>
      </c>
      <c r="D16" s="29" t="str">
        <f t="shared" si="0"/>
        <v>#5</v>
      </c>
      <c r="E16" s="7">
        <f>Données!I3</f>
        <v>43838</v>
      </c>
      <c r="F16" s="6" t="str">
        <f>INDEX(Données!$F$2:$L$54,MATCH('#5'!E16,Données!$G$2:$G$54,1),1)</f>
        <v>2</v>
      </c>
      <c r="G16" s="18" t="str">
        <f t="shared" si="1"/>
        <v/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1"/>
      <c r="W16" s="75"/>
      <c r="X16" s="75"/>
      <c r="Y16" s="75"/>
      <c r="Z16" s="96">
        <f>SUM(Tableau16[[#This Row],[A-1]:[G-5]])</f>
        <v>0</v>
      </c>
      <c r="AA16" s="96" t="str">
        <f>IF(AND(Z16&gt;0,Tableau16[[#This Row],[CDS]]=""),"Oui","Non")</f>
        <v>Non</v>
      </c>
      <c r="AB16" s="75"/>
      <c r="AC16" s="75"/>
      <c r="AD16" s="75"/>
      <c r="AE16" s="75"/>
      <c r="AF16" s="75"/>
      <c r="AG16" s="75"/>
      <c r="AH16" s="75"/>
      <c r="AI16" s="75"/>
      <c r="AJ16" s="81"/>
      <c r="AK16" s="75"/>
      <c r="AL16" s="75"/>
    </row>
    <row r="17" spans="1:38" ht="15.75" hidden="1" thickBot="1" x14ac:dyDescent="0.3">
      <c r="A17" s="75"/>
      <c r="B17" s="75"/>
      <c r="C17" s="35">
        <f>INDEX(Données!$F$2:$L$54,MATCH(F17,Données!$F$2:$F$54,0),2)</f>
        <v>43836</v>
      </c>
      <c r="D17" s="29" t="str">
        <f t="shared" si="0"/>
        <v>#5</v>
      </c>
      <c r="E17" s="7">
        <f>Données!J3</f>
        <v>43839</v>
      </c>
      <c r="F17" s="6" t="str">
        <f>INDEX(Données!$F$2:$L$54,MATCH('#5'!E17,Données!$G$2:$G$54,1),1)</f>
        <v>2</v>
      </c>
      <c r="G17" s="18" t="str">
        <f t="shared" si="1"/>
        <v/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1"/>
      <c r="W17" s="75"/>
      <c r="X17" s="75"/>
      <c r="Y17" s="75"/>
      <c r="Z17" s="96">
        <f>SUM(Tableau16[[#This Row],[A-1]:[G-5]])</f>
        <v>0</v>
      </c>
      <c r="AA17" s="96" t="str">
        <f>IF(AND(Z17&gt;0,Tableau16[[#This Row],[CDS]]=""),"Oui","Non")</f>
        <v>Non</v>
      </c>
      <c r="AB17" s="75"/>
      <c r="AC17" s="75"/>
      <c r="AD17" s="75"/>
      <c r="AE17" s="75"/>
      <c r="AF17" s="75"/>
      <c r="AG17" s="75"/>
      <c r="AH17" s="75"/>
      <c r="AI17" s="75"/>
      <c r="AJ17" s="81"/>
      <c r="AK17" s="75"/>
      <c r="AL17" s="75"/>
    </row>
    <row r="18" spans="1:38" ht="15.75" hidden="1" thickBot="1" x14ac:dyDescent="0.3">
      <c r="A18" s="75"/>
      <c r="B18" s="75"/>
      <c r="C18" s="35">
        <f>INDEX(Données!$F$2:$L$54,MATCH(F18,Données!$F$2:$F$54,0),2)</f>
        <v>43836</v>
      </c>
      <c r="D18" s="29" t="str">
        <f t="shared" si="0"/>
        <v>#5</v>
      </c>
      <c r="E18" s="7">
        <f>Données!K3</f>
        <v>43840</v>
      </c>
      <c r="F18" s="6" t="str">
        <f>INDEX(Données!$F$2:$L$54,MATCH('#5'!E18,Données!$G$2:$G$54,1),1)</f>
        <v>2</v>
      </c>
      <c r="G18" s="18" t="str">
        <f t="shared" si="1"/>
        <v/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1"/>
      <c r="W18" s="75"/>
      <c r="X18" s="75"/>
      <c r="Y18" s="75"/>
      <c r="Z18" s="96">
        <f>SUM(Tableau16[[#This Row],[A-1]:[G-5]])</f>
        <v>0</v>
      </c>
      <c r="AA18" s="96" t="str">
        <f>IF(AND(Z18&gt;0,Tableau16[[#This Row],[CDS]]=""),"Oui","Non")</f>
        <v>Non</v>
      </c>
      <c r="AB18" s="75"/>
      <c r="AC18" s="75"/>
      <c r="AD18" s="75"/>
      <c r="AE18" s="75"/>
      <c r="AF18" s="75"/>
      <c r="AG18" s="75"/>
      <c r="AH18" s="75"/>
      <c r="AI18" s="75"/>
      <c r="AJ18" s="81"/>
      <c r="AK18" s="75"/>
      <c r="AL18" s="75"/>
    </row>
    <row r="19" spans="1:38" ht="15.75" hidden="1" thickBot="1" x14ac:dyDescent="0.3">
      <c r="A19" s="75"/>
      <c r="B19" s="75"/>
      <c r="C19" s="35">
        <f>INDEX(Données!$F$2:$L$54,MATCH(F19,Données!$F$2:$F$54,0),2)</f>
        <v>43836</v>
      </c>
      <c r="D19" s="29" t="str">
        <f t="shared" si="0"/>
        <v>#5</v>
      </c>
      <c r="E19" s="7">
        <f>Données!L3</f>
        <v>43841</v>
      </c>
      <c r="F19" s="6" t="str">
        <f>INDEX(Données!$F$2:$L$54,MATCH('#5'!E19,Données!$G$2:$G$54,1),1)</f>
        <v>2</v>
      </c>
      <c r="G19" s="18" t="str">
        <f t="shared" si="1"/>
        <v/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1"/>
      <c r="W19" s="75"/>
      <c r="X19" s="75"/>
      <c r="Y19" s="75"/>
      <c r="Z19" s="96">
        <f>SUM(Tableau16[[#This Row],[A-1]:[G-5]])</f>
        <v>0</v>
      </c>
      <c r="AA19" s="96" t="str">
        <f>IF(AND(Z19&gt;0,Tableau16[[#This Row],[CDS]]=""),"Oui","Non")</f>
        <v>Non</v>
      </c>
      <c r="AB19" s="75"/>
      <c r="AC19" s="75"/>
      <c r="AD19" s="75"/>
      <c r="AE19" s="75"/>
      <c r="AF19" s="75"/>
      <c r="AG19" s="75"/>
      <c r="AH19" s="75"/>
      <c r="AI19" s="75"/>
      <c r="AJ19" s="81"/>
      <c r="AK19" s="75"/>
      <c r="AL19" s="75"/>
    </row>
    <row r="20" spans="1:38" ht="15.75" hidden="1" thickBot="1" x14ac:dyDescent="0.3">
      <c r="A20" s="75"/>
      <c r="B20" s="75"/>
      <c r="C20" s="35">
        <f>INDEX(Données!$F$2:$L$54,MATCH(F20,Données!$F$2:$F$54,0),2)</f>
        <v>43843</v>
      </c>
      <c r="D20" s="29" t="str">
        <f t="shared" si="0"/>
        <v>#5</v>
      </c>
      <c r="E20" s="7">
        <f>Données!G4</f>
        <v>43843</v>
      </c>
      <c r="F20" s="6" t="str">
        <f>INDEX(Données!$F$2:$L$54,MATCH('#5'!E20,Données!$G$2:$G$54,1),1)</f>
        <v>3</v>
      </c>
      <c r="G20" s="18" t="str">
        <f t="shared" si="1"/>
        <v/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1"/>
      <c r="W20" s="75"/>
      <c r="X20" s="75"/>
      <c r="Y20" s="75"/>
      <c r="Z20" s="96">
        <f>SUM(Tableau16[[#This Row],[A-1]:[G-5]])</f>
        <v>0</v>
      </c>
      <c r="AA20" s="96" t="str">
        <f>IF(AND(Z20&gt;0,Tableau16[[#This Row],[CDS]]=""),"Oui","Non")</f>
        <v>Non</v>
      </c>
      <c r="AB20" s="75"/>
      <c r="AC20" s="75"/>
      <c r="AD20" s="75"/>
      <c r="AE20" s="75"/>
      <c r="AF20" s="75"/>
      <c r="AG20" s="75"/>
      <c r="AH20" s="75"/>
      <c r="AI20" s="75"/>
      <c r="AJ20" s="81"/>
      <c r="AK20" s="75"/>
      <c r="AL20" s="75"/>
    </row>
    <row r="21" spans="1:38" ht="15.75" hidden="1" thickBot="1" x14ac:dyDescent="0.3">
      <c r="A21" s="75"/>
      <c r="B21" s="75"/>
      <c r="C21" s="35">
        <f>INDEX(Données!$F$2:$L$54,MATCH(F21,Données!$F$2:$F$54,0),2)</f>
        <v>43843</v>
      </c>
      <c r="D21" s="29" t="str">
        <f t="shared" si="0"/>
        <v>#5</v>
      </c>
      <c r="E21" s="7">
        <f>Données!H4</f>
        <v>43844</v>
      </c>
      <c r="F21" s="6" t="str">
        <f>INDEX(Données!$F$2:$L$54,MATCH('#5'!E21,Données!$G$2:$G$54,1),1)</f>
        <v>3</v>
      </c>
      <c r="G21" s="18" t="str">
        <f t="shared" si="1"/>
        <v/>
      </c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1"/>
      <c r="W21" s="75"/>
      <c r="X21" s="75"/>
      <c r="Y21" s="75"/>
      <c r="Z21" s="96">
        <f>SUM(Tableau16[[#This Row],[A-1]:[G-5]])</f>
        <v>0</v>
      </c>
      <c r="AA21" s="96" t="str">
        <f>IF(AND(Z21&gt;0,Tableau16[[#This Row],[CDS]]=""),"Oui","Non")</f>
        <v>Non</v>
      </c>
      <c r="AB21" s="75"/>
      <c r="AC21" s="75"/>
      <c r="AD21" s="75"/>
      <c r="AE21" s="75"/>
      <c r="AF21" s="75"/>
      <c r="AG21" s="75"/>
      <c r="AH21" s="75"/>
      <c r="AI21" s="75"/>
      <c r="AJ21" s="81"/>
      <c r="AK21" s="75"/>
      <c r="AL21" s="75"/>
    </row>
    <row r="22" spans="1:38" ht="15.75" hidden="1" thickBot="1" x14ac:dyDescent="0.3">
      <c r="A22" s="75"/>
      <c r="B22" s="75"/>
      <c r="C22" s="35">
        <f>INDEX(Données!$F$2:$L$54,MATCH(F22,Données!$F$2:$F$54,0),2)</f>
        <v>43843</v>
      </c>
      <c r="D22" s="29" t="str">
        <f t="shared" si="0"/>
        <v>#5</v>
      </c>
      <c r="E22" s="7">
        <f>Données!I4</f>
        <v>43845</v>
      </c>
      <c r="F22" s="6" t="str">
        <f>INDEX(Données!$F$2:$L$54,MATCH('#5'!E22,Données!$G$2:$G$54,1),1)</f>
        <v>3</v>
      </c>
      <c r="G22" s="18" t="str">
        <f t="shared" si="1"/>
        <v/>
      </c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1"/>
      <c r="W22" s="75"/>
      <c r="X22" s="75"/>
      <c r="Y22" s="75"/>
      <c r="Z22" s="96">
        <f>SUM(Tableau16[[#This Row],[A-1]:[G-5]])</f>
        <v>0</v>
      </c>
      <c r="AA22" s="96" t="str">
        <f>IF(AND(Z22&gt;0,Tableau16[[#This Row],[CDS]]=""),"Oui","Non")</f>
        <v>Non</v>
      </c>
      <c r="AB22" s="75"/>
      <c r="AC22" s="75"/>
      <c r="AD22" s="75"/>
      <c r="AE22" s="75"/>
      <c r="AF22" s="75"/>
      <c r="AG22" s="75"/>
      <c r="AH22" s="75"/>
      <c r="AI22" s="75"/>
      <c r="AJ22" s="81"/>
      <c r="AK22" s="75"/>
      <c r="AL22" s="75"/>
    </row>
    <row r="23" spans="1:38" ht="15.75" hidden="1" thickBot="1" x14ac:dyDescent="0.3">
      <c r="A23" s="75"/>
      <c r="B23" s="75"/>
      <c r="C23" s="35">
        <f>INDEX(Données!$F$2:$L$54,MATCH(F23,Données!$F$2:$F$54,0),2)</f>
        <v>43843</v>
      </c>
      <c r="D23" s="29" t="str">
        <f t="shared" si="0"/>
        <v>#5</v>
      </c>
      <c r="E23" s="7">
        <f>Données!J4</f>
        <v>43846</v>
      </c>
      <c r="F23" s="6" t="str">
        <f>INDEX(Données!$F$2:$L$54,MATCH('#5'!E23,Données!$G$2:$G$54,1),1)</f>
        <v>3</v>
      </c>
      <c r="G23" s="18" t="str">
        <f t="shared" si="1"/>
        <v/>
      </c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1"/>
      <c r="W23" s="75"/>
      <c r="X23" s="75"/>
      <c r="Y23" s="75"/>
      <c r="Z23" s="96">
        <f>SUM(Tableau16[[#This Row],[A-1]:[G-5]])</f>
        <v>0</v>
      </c>
      <c r="AA23" s="96" t="str">
        <f>IF(AND(Z23&gt;0,Tableau16[[#This Row],[CDS]]=""),"Oui","Non")</f>
        <v>Non</v>
      </c>
      <c r="AB23" s="75"/>
      <c r="AC23" s="75"/>
      <c r="AD23" s="75"/>
      <c r="AE23" s="75"/>
      <c r="AF23" s="75"/>
      <c r="AG23" s="75"/>
      <c r="AH23" s="75"/>
      <c r="AI23" s="75"/>
      <c r="AJ23" s="81"/>
      <c r="AK23" s="75"/>
      <c r="AL23" s="75"/>
    </row>
    <row r="24" spans="1:38" ht="15.75" hidden="1" thickBot="1" x14ac:dyDescent="0.3">
      <c r="A24" s="75"/>
      <c r="B24" s="75"/>
      <c r="C24" s="35">
        <f>INDEX(Données!$F$2:$L$54,MATCH(F24,Données!$F$2:$F$54,0),2)</f>
        <v>43843</v>
      </c>
      <c r="D24" s="29" t="str">
        <f t="shared" si="0"/>
        <v>#5</v>
      </c>
      <c r="E24" s="7">
        <f>Données!K4</f>
        <v>43847</v>
      </c>
      <c r="F24" s="6" t="str">
        <f>INDEX(Données!$F$2:$L$54,MATCH('#5'!E24,Données!$G$2:$G$54,1),1)</f>
        <v>3</v>
      </c>
      <c r="G24" s="18" t="str">
        <f t="shared" si="1"/>
        <v/>
      </c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1"/>
      <c r="W24" s="75"/>
      <c r="X24" s="75"/>
      <c r="Y24" s="75"/>
      <c r="Z24" s="96">
        <f>SUM(Tableau16[[#This Row],[A-1]:[G-5]])</f>
        <v>0</v>
      </c>
      <c r="AA24" s="96" t="str">
        <f>IF(AND(Z24&gt;0,Tableau16[[#This Row],[CDS]]=""),"Oui","Non")</f>
        <v>Non</v>
      </c>
      <c r="AB24" s="75"/>
      <c r="AC24" s="75"/>
      <c r="AD24" s="75"/>
      <c r="AE24" s="75"/>
      <c r="AF24" s="75"/>
      <c r="AG24" s="75"/>
      <c r="AH24" s="75"/>
      <c r="AI24" s="75"/>
      <c r="AJ24" s="81"/>
      <c r="AK24" s="75"/>
      <c r="AL24" s="75"/>
    </row>
    <row r="25" spans="1:38" ht="15.75" hidden="1" thickBot="1" x14ac:dyDescent="0.3">
      <c r="A25" s="75"/>
      <c r="B25" s="75"/>
      <c r="C25" s="35">
        <f>INDEX(Données!$F$2:$L$54,MATCH(F25,Données!$F$2:$F$54,0),2)</f>
        <v>43843</v>
      </c>
      <c r="D25" s="29" t="str">
        <f t="shared" si="0"/>
        <v>#5</v>
      </c>
      <c r="E25" s="7">
        <f>Données!L4</f>
        <v>43848</v>
      </c>
      <c r="F25" s="6" t="str">
        <f>INDEX(Données!$F$2:$L$54,MATCH('#5'!E25,Données!$G$2:$G$54,1),1)</f>
        <v>3</v>
      </c>
      <c r="G25" s="18" t="str">
        <f t="shared" si="1"/>
        <v/>
      </c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1"/>
      <c r="W25" s="75"/>
      <c r="X25" s="75"/>
      <c r="Y25" s="75"/>
      <c r="Z25" s="96">
        <f>SUM(Tableau16[[#This Row],[A-1]:[G-5]])</f>
        <v>0</v>
      </c>
      <c r="AA25" s="96" t="str">
        <f>IF(AND(Z25&gt;0,Tableau16[[#This Row],[CDS]]=""),"Oui","Non")</f>
        <v>Non</v>
      </c>
      <c r="AB25" s="75"/>
      <c r="AC25" s="75"/>
      <c r="AD25" s="75"/>
      <c r="AE25" s="75"/>
      <c r="AF25" s="75"/>
      <c r="AG25" s="75"/>
      <c r="AH25" s="75"/>
      <c r="AI25" s="75"/>
      <c r="AJ25" s="81"/>
      <c r="AK25" s="75"/>
      <c r="AL25" s="75"/>
    </row>
    <row r="26" spans="1:38" ht="15.75" hidden="1" thickBot="1" x14ac:dyDescent="0.3">
      <c r="A26" s="75"/>
      <c r="B26" s="75"/>
      <c r="C26" s="35">
        <f>INDEX(Données!$F$2:$L$54,MATCH(F26,Données!$F$2:$F$54,0),2)</f>
        <v>43850</v>
      </c>
      <c r="D26" s="29" t="str">
        <f t="shared" si="0"/>
        <v>#5</v>
      </c>
      <c r="E26" s="7">
        <f>Données!G5</f>
        <v>43850</v>
      </c>
      <c r="F26" s="6" t="str">
        <f>INDEX(Données!$F$2:$L$54,MATCH('#5'!E26,Données!$G$2:$G$54,1),1)</f>
        <v>4</v>
      </c>
      <c r="G26" s="18" t="str">
        <f t="shared" si="1"/>
        <v/>
      </c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1"/>
      <c r="W26" s="75"/>
      <c r="X26" s="75"/>
      <c r="Y26" s="75"/>
      <c r="Z26" s="96">
        <f>SUM(Tableau16[[#This Row],[A-1]:[G-5]])</f>
        <v>0</v>
      </c>
      <c r="AA26" s="96" t="str">
        <f>IF(AND(Z26&gt;0,Tableau16[[#This Row],[CDS]]=""),"Oui","Non")</f>
        <v>Non</v>
      </c>
      <c r="AB26" s="75"/>
      <c r="AC26" s="75"/>
      <c r="AD26" s="75"/>
      <c r="AE26" s="75"/>
      <c r="AF26" s="75"/>
      <c r="AG26" s="75"/>
      <c r="AH26" s="75"/>
      <c r="AI26" s="75"/>
      <c r="AJ26" s="81"/>
      <c r="AK26" s="75"/>
      <c r="AL26" s="75"/>
    </row>
    <row r="27" spans="1:38" ht="15.75" hidden="1" thickBot="1" x14ac:dyDescent="0.3">
      <c r="A27" s="75"/>
      <c r="B27" s="75"/>
      <c r="C27" s="35">
        <f>INDEX(Données!$F$2:$L$54,MATCH(F27,Données!$F$2:$F$54,0),2)</f>
        <v>43850</v>
      </c>
      <c r="D27" s="29" t="str">
        <f t="shared" si="0"/>
        <v>#5</v>
      </c>
      <c r="E27" s="7">
        <f>Données!H5</f>
        <v>43851</v>
      </c>
      <c r="F27" s="6" t="str">
        <f>INDEX(Données!$F$2:$L$54,MATCH('#5'!E27,Données!$G$2:$G$54,1),1)</f>
        <v>4</v>
      </c>
      <c r="G27" s="18" t="str">
        <f t="shared" si="1"/>
        <v/>
      </c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1"/>
      <c r="W27" s="75"/>
      <c r="X27" s="75"/>
      <c r="Y27" s="75"/>
      <c r="Z27" s="96">
        <f>SUM(Tableau16[[#This Row],[A-1]:[G-5]])</f>
        <v>0</v>
      </c>
      <c r="AA27" s="96" t="str">
        <f>IF(AND(Z27&gt;0,Tableau16[[#This Row],[CDS]]=""),"Oui","Non")</f>
        <v>Non</v>
      </c>
      <c r="AB27" s="75"/>
      <c r="AC27" s="75"/>
      <c r="AD27" s="75"/>
      <c r="AE27" s="75"/>
      <c r="AF27" s="75"/>
      <c r="AG27" s="75"/>
      <c r="AH27" s="75"/>
      <c r="AI27" s="75"/>
      <c r="AJ27" s="81"/>
      <c r="AK27" s="75"/>
      <c r="AL27" s="75"/>
    </row>
    <row r="28" spans="1:38" ht="15.75" hidden="1" thickBot="1" x14ac:dyDescent="0.3">
      <c r="A28" s="75"/>
      <c r="B28" s="75"/>
      <c r="C28" s="35">
        <f>INDEX(Données!$F$2:$L$54,MATCH(F28,Données!$F$2:$F$54,0),2)</f>
        <v>43850</v>
      </c>
      <c r="D28" s="29" t="str">
        <f t="shared" si="0"/>
        <v>#5</v>
      </c>
      <c r="E28" s="7">
        <f>Données!I5</f>
        <v>43852</v>
      </c>
      <c r="F28" s="6" t="str">
        <f>INDEX(Données!$F$2:$L$54,MATCH('#5'!E28,Données!$G$2:$G$54,1),1)</f>
        <v>4</v>
      </c>
      <c r="G28" s="18" t="str">
        <f t="shared" si="1"/>
        <v/>
      </c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1"/>
      <c r="W28" s="75"/>
      <c r="X28" s="75"/>
      <c r="Y28" s="75"/>
      <c r="Z28" s="96">
        <f>SUM(Tableau16[[#This Row],[A-1]:[G-5]])</f>
        <v>0</v>
      </c>
      <c r="AA28" s="96" t="str">
        <f>IF(AND(Z28&gt;0,Tableau16[[#This Row],[CDS]]=""),"Oui","Non")</f>
        <v>Non</v>
      </c>
      <c r="AB28" s="75"/>
      <c r="AC28" s="75"/>
      <c r="AD28" s="75"/>
      <c r="AE28" s="75"/>
      <c r="AF28" s="75"/>
      <c r="AG28" s="75"/>
      <c r="AH28" s="75"/>
      <c r="AI28" s="75"/>
      <c r="AJ28" s="81"/>
      <c r="AK28" s="75"/>
      <c r="AL28" s="75"/>
    </row>
    <row r="29" spans="1:38" ht="15.75" hidden="1" thickBot="1" x14ac:dyDescent="0.3">
      <c r="A29" s="75"/>
      <c r="B29" s="75"/>
      <c r="C29" s="35">
        <f>INDEX(Données!$F$2:$L$54,MATCH(F29,Données!$F$2:$F$54,0),2)</f>
        <v>43850</v>
      </c>
      <c r="D29" s="29" t="str">
        <f t="shared" si="0"/>
        <v>#5</v>
      </c>
      <c r="E29" s="7">
        <f>Données!J5</f>
        <v>43853</v>
      </c>
      <c r="F29" s="6" t="str">
        <f>INDEX(Données!$F$2:$L$54,MATCH('#5'!E29,Données!$G$2:$G$54,1),1)</f>
        <v>4</v>
      </c>
      <c r="G29" s="18" t="str">
        <f t="shared" si="1"/>
        <v/>
      </c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1"/>
      <c r="W29" s="75"/>
      <c r="X29" s="75"/>
      <c r="Y29" s="75"/>
      <c r="Z29" s="96">
        <f>SUM(Tableau16[[#This Row],[A-1]:[G-5]])</f>
        <v>0</v>
      </c>
      <c r="AA29" s="96" t="str">
        <f>IF(AND(Z29&gt;0,Tableau16[[#This Row],[CDS]]=""),"Oui","Non")</f>
        <v>Non</v>
      </c>
      <c r="AB29" s="75"/>
      <c r="AC29" s="75"/>
      <c r="AD29" s="75"/>
      <c r="AE29" s="75"/>
      <c r="AF29" s="75"/>
      <c r="AG29" s="75"/>
      <c r="AH29" s="75"/>
      <c r="AI29" s="75"/>
      <c r="AJ29" s="81"/>
      <c r="AK29" s="75"/>
      <c r="AL29" s="75"/>
    </row>
    <row r="30" spans="1:38" ht="15.75" hidden="1" thickBot="1" x14ac:dyDescent="0.3">
      <c r="A30" s="75"/>
      <c r="B30" s="75"/>
      <c r="C30" s="35">
        <f>INDEX(Données!$F$2:$L$54,MATCH(F30,Données!$F$2:$F$54,0),2)</f>
        <v>43850</v>
      </c>
      <c r="D30" s="29" t="str">
        <f t="shared" si="0"/>
        <v>#5</v>
      </c>
      <c r="E30" s="7">
        <f>Données!K5</f>
        <v>43854</v>
      </c>
      <c r="F30" s="6" t="str">
        <f>INDEX(Données!$F$2:$L$54,MATCH('#5'!E30,Données!$G$2:$G$54,1),1)</f>
        <v>4</v>
      </c>
      <c r="G30" s="18" t="str">
        <f t="shared" si="1"/>
        <v/>
      </c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1"/>
      <c r="W30" s="75"/>
      <c r="X30" s="75"/>
      <c r="Y30" s="75"/>
      <c r="Z30" s="96">
        <f>SUM(Tableau16[[#This Row],[A-1]:[G-5]])</f>
        <v>0</v>
      </c>
      <c r="AA30" s="96" t="str">
        <f>IF(AND(Z30&gt;0,Tableau16[[#This Row],[CDS]]=""),"Oui","Non")</f>
        <v>Non</v>
      </c>
      <c r="AB30" s="75"/>
      <c r="AC30" s="75"/>
      <c r="AD30" s="75"/>
      <c r="AE30" s="75"/>
      <c r="AF30" s="75"/>
      <c r="AG30" s="75"/>
      <c r="AH30" s="75"/>
      <c r="AI30" s="75"/>
      <c r="AJ30" s="81"/>
      <c r="AK30" s="75"/>
      <c r="AL30" s="75"/>
    </row>
    <row r="31" spans="1:38" ht="15.75" hidden="1" thickBot="1" x14ac:dyDescent="0.3">
      <c r="A31" s="75"/>
      <c r="B31" s="75"/>
      <c r="C31" s="35">
        <f>INDEX(Données!$F$2:$L$54,MATCH(F31,Données!$F$2:$F$54,0),2)</f>
        <v>43850</v>
      </c>
      <c r="D31" s="29" t="str">
        <f t="shared" si="0"/>
        <v>#5</v>
      </c>
      <c r="E31" s="7">
        <f>Données!L5</f>
        <v>43855</v>
      </c>
      <c r="F31" s="6" t="str">
        <f>INDEX(Données!$F$2:$L$54,MATCH('#5'!E31,Données!$G$2:$G$54,1),1)</f>
        <v>4</v>
      </c>
      <c r="G31" s="18" t="str">
        <f t="shared" si="1"/>
        <v/>
      </c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1"/>
      <c r="W31" s="75"/>
      <c r="X31" s="75"/>
      <c r="Y31" s="75"/>
      <c r="Z31" s="96">
        <f>SUM(Tableau16[[#This Row],[A-1]:[G-5]])</f>
        <v>0</v>
      </c>
      <c r="AA31" s="96" t="str">
        <f>IF(AND(Z31&gt;0,Tableau16[[#This Row],[CDS]]=""),"Oui","Non")</f>
        <v>Non</v>
      </c>
      <c r="AB31" s="75"/>
      <c r="AC31" s="75"/>
      <c r="AD31" s="75"/>
      <c r="AE31" s="75"/>
      <c r="AF31" s="75"/>
      <c r="AG31" s="75"/>
      <c r="AH31" s="75"/>
      <c r="AI31" s="75"/>
      <c r="AJ31" s="81"/>
      <c r="AK31" s="75"/>
      <c r="AL31" s="75"/>
    </row>
    <row r="32" spans="1:38" ht="15.75" hidden="1" thickBot="1" x14ac:dyDescent="0.3">
      <c r="A32" s="75"/>
      <c r="B32" s="75"/>
      <c r="C32" s="35">
        <f>INDEX(Données!$F$2:$L$54,MATCH(F32,Données!$F$2:$F$54,0),2)</f>
        <v>43857</v>
      </c>
      <c r="D32" s="29" t="str">
        <f t="shared" si="0"/>
        <v>#5</v>
      </c>
      <c r="E32" s="7">
        <f>Données!G6</f>
        <v>43857</v>
      </c>
      <c r="F32" s="6" t="str">
        <f>INDEX(Données!$F$2:$L$54,MATCH('#5'!E32,Données!$G$2:$G$54,1),1)</f>
        <v>5</v>
      </c>
      <c r="G32" s="18" t="str">
        <f t="shared" si="1"/>
        <v/>
      </c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1"/>
      <c r="W32" s="75"/>
      <c r="X32" s="75"/>
      <c r="Y32" s="75"/>
      <c r="Z32" s="96">
        <f>SUM(Tableau16[[#This Row],[A-1]:[G-5]])</f>
        <v>0</v>
      </c>
      <c r="AA32" s="96" t="str">
        <f>IF(AND(Z32&gt;0,Tableau16[[#This Row],[CDS]]=""),"Oui","Non")</f>
        <v>Non</v>
      </c>
      <c r="AB32" s="75"/>
      <c r="AC32" s="75"/>
      <c r="AD32" s="75"/>
      <c r="AE32" s="75"/>
      <c r="AF32" s="75"/>
      <c r="AG32" s="75"/>
      <c r="AH32" s="75"/>
      <c r="AI32" s="75"/>
      <c r="AJ32" s="81"/>
      <c r="AK32" s="75"/>
      <c r="AL32" s="75"/>
    </row>
    <row r="33" spans="1:38" ht="15.75" hidden="1" thickBot="1" x14ac:dyDescent="0.3">
      <c r="A33" s="75"/>
      <c r="B33" s="75"/>
      <c r="C33" s="35">
        <f>INDEX(Données!$F$2:$L$54,MATCH(F33,Données!$F$2:$F$54,0),2)</f>
        <v>43857</v>
      </c>
      <c r="D33" s="29" t="str">
        <f t="shared" si="0"/>
        <v>#5</v>
      </c>
      <c r="E33" s="7">
        <f>Données!H6</f>
        <v>43858</v>
      </c>
      <c r="F33" s="6" t="str">
        <f>INDEX(Données!$F$2:$L$54,MATCH('#5'!E33,Données!$G$2:$G$54,1),1)</f>
        <v>5</v>
      </c>
      <c r="G33" s="18" t="str">
        <f t="shared" si="1"/>
        <v/>
      </c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1"/>
      <c r="W33" s="75"/>
      <c r="X33" s="75"/>
      <c r="Y33" s="75"/>
      <c r="Z33" s="96">
        <f>SUM(Tableau16[[#This Row],[A-1]:[G-5]])</f>
        <v>0</v>
      </c>
      <c r="AA33" s="96" t="str">
        <f>IF(AND(Z33&gt;0,Tableau16[[#This Row],[CDS]]=""),"Oui","Non")</f>
        <v>Non</v>
      </c>
      <c r="AB33" s="75"/>
      <c r="AC33" s="75"/>
      <c r="AD33" s="75"/>
      <c r="AE33" s="75"/>
      <c r="AF33" s="75"/>
      <c r="AG33" s="75"/>
      <c r="AH33" s="75"/>
      <c r="AI33" s="75"/>
      <c r="AJ33" s="81"/>
      <c r="AK33" s="75"/>
      <c r="AL33" s="75"/>
    </row>
    <row r="34" spans="1:38" ht="15.75" hidden="1" thickBot="1" x14ac:dyDescent="0.3">
      <c r="A34" s="75"/>
      <c r="B34" s="75"/>
      <c r="C34" s="35">
        <f>INDEX(Données!$F$2:$L$54,MATCH(F34,Données!$F$2:$F$54,0),2)</f>
        <v>43857</v>
      </c>
      <c r="D34" s="29" t="str">
        <f t="shared" si="0"/>
        <v>#5</v>
      </c>
      <c r="E34" s="7">
        <f>Données!I6</f>
        <v>43859</v>
      </c>
      <c r="F34" s="6" t="str">
        <f>INDEX(Données!$F$2:$L$54,MATCH('#5'!E34,Données!$G$2:$G$54,1),1)</f>
        <v>5</v>
      </c>
      <c r="G34" s="18" t="str">
        <f t="shared" si="1"/>
        <v/>
      </c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1"/>
      <c r="W34" s="75"/>
      <c r="X34" s="75"/>
      <c r="Y34" s="75"/>
      <c r="Z34" s="96">
        <f>SUM(Tableau16[[#This Row],[A-1]:[G-5]])</f>
        <v>0</v>
      </c>
      <c r="AA34" s="96" t="str">
        <f>IF(AND(Z34&gt;0,Tableau16[[#This Row],[CDS]]=""),"Oui","Non")</f>
        <v>Non</v>
      </c>
      <c r="AB34" s="75"/>
      <c r="AC34" s="75"/>
      <c r="AD34" s="75"/>
      <c r="AE34" s="75"/>
      <c r="AF34" s="75"/>
      <c r="AG34" s="75"/>
      <c r="AH34" s="75"/>
      <c r="AI34" s="75"/>
      <c r="AJ34" s="81"/>
      <c r="AK34" s="75"/>
      <c r="AL34" s="75"/>
    </row>
    <row r="35" spans="1:38" ht="15.75" hidden="1" thickBot="1" x14ac:dyDescent="0.3">
      <c r="A35" s="75"/>
      <c r="B35" s="75"/>
      <c r="C35" s="35">
        <f>INDEX(Données!$F$2:$L$54,MATCH(F35,Données!$F$2:$F$54,0),2)</f>
        <v>43857</v>
      </c>
      <c r="D35" s="29" t="str">
        <f t="shared" si="0"/>
        <v>#5</v>
      </c>
      <c r="E35" s="7">
        <f>Données!J6</f>
        <v>43860</v>
      </c>
      <c r="F35" s="6" t="str">
        <f>INDEX(Données!$F$2:$L$54,MATCH('#5'!E35,Données!$G$2:$G$54,1),1)</f>
        <v>5</v>
      </c>
      <c r="G35" s="18" t="str">
        <f t="shared" si="1"/>
        <v/>
      </c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1"/>
      <c r="W35" s="75"/>
      <c r="X35" s="75"/>
      <c r="Y35" s="75"/>
      <c r="Z35" s="96">
        <f>SUM(Tableau16[[#This Row],[A-1]:[G-5]])</f>
        <v>0</v>
      </c>
      <c r="AA35" s="96" t="str">
        <f>IF(AND(Z35&gt;0,Tableau16[[#This Row],[CDS]]=""),"Oui","Non")</f>
        <v>Non</v>
      </c>
      <c r="AB35" s="75"/>
      <c r="AC35" s="75"/>
      <c r="AD35" s="75"/>
      <c r="AE35" s="75"/>
      <c r="AF35" s="75"/>
      <c r="AG35" s="75"/>
      <c r="AH35" s="75"/>
      <c r="AI35" s="75"/>
      <c r="AJ35" s="81"/>
      <c r="AK35" s="75"/>
      <c r="AL35" s="75"/>
    </row>
    <row r="36" spans="1:38" ht="15.75" hidden="1" thickBot="1" x14ac:dyDescent="0.3">
      <c r="A36" s="75"/>
      <c r="B36" s="75"/>
      <c r="C36" s="35">
        <f>INDEX(Données!$F$2:$L$54,MATCH(F36,Données!$F$2:$F$54,0),2)</f>
        <v>43857</v>
      </c>
      <c r="D36" s="29" t="str">
        <f t="shared" si="0"/>
        <v>#5</v>
      </c>
      <c r="E36" s="7">
        <f>Données!K6</f>
        <v>43861</v>
      </c>
      <c r="F36" s="6" t="str">
        <f>INDEX(Données!$F$2:$L$54,MATCH('#5'!E36,Données!$G$2:$G$54,1),1)</f>
        <v>5</v>
      </c>
      <c r="G36" s="18" t="str">
        <f t="shared" si="1"/>
        <v/>
      </c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1"/>
      <c r="W36" s="75"/>
      <c r="X36" s="75"/>
      <c r="Y36" s="75"/>
      <c r="Z36" s="96">
        <f>SUM(Tableau16[[#This Row],[A-1]:[G-5]])</f>
        <v>0</v>
      </c>
      <c r="AA36" s="96" t="str">
        <f>IF(AND(Z36&gt;0,Tableau16[[#This Row],[CDS]]=""),"Oui","Non")</f>
        <v>Non</v>
      </c>
      <c r="AB36" s="75"/>
      <c r="AC36" s="75"/>
      <c r="AD36" s="75"/>
      <c r="AE36" s="75"/>
      <c r="AF36" s="75"/>
      <c r="AG36" s="75"/>
      <c r="AH36" s="75"/>
      <c r="AI36" s="75"/>
      <c r="AJ36" s="81"/>
      <c r="AK36" s="75"/>
      <c r="AL36" s="75"/>
    </row>
    <row r="37" spans="1:38" ht="15.75" hidden="1" thickBot="1" x14ac:dyDescent="0.3">
      <c r="A37" s="75"/>
      <c r="B37" s="75"/>
      <c r="C37" s="35">
        <f>INDEX(Données!$F$2:$L$54,MATCH(F37,Données!$F$2:$F$54,0),2)</f>
        <v>43857</v>
      </c>
      <c r="D37" s="29" t="str">
        <f t="shared" si="0"/>
        <v>#5</v>
      </c>
      <c r="E37" s="7">
        <f>Données!L6</f>
        <v>43862</v>
      </c>
      <c r="F37" s="6" t="str">
        <f>INDEX(Données!$F$2:$L$54,MATCH('#5'!E37,Données!$G$2:$G$54,1),1)</f>
        <v>5</v>
      </c>
      <c r="G37" s="18" t="str">
        <f t="shared" si="1"/>
        <v/>
      </c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1"/>
      <c r="W37" s="75"/>
      <c r="X37" s="75"/>
      <c r="Y37" s="75"/>
      <c r="Z37" s="96">
        <f>SUM(Tableau16[[#This Row],[A-1]:[G-5]])</f>
        <v>0</v>
      </c>
      <c r="AA37" s="96" t="str">
        <f>IF(AND(Z37&gt;0,Tableau16[[#This Row],[CDS]]=""),"Oui","Non")</f>
        <v>Non</v>
      </c>
      <c r="AB37" s="75"/>
      <c r="AC37" s="75"/>
      <c r="AD37" s="75"/>
      <c r="AE37" s="75"/>
      <c r="AF37" s="75"/>
      <c r="AG37" s="75"/>
      <c r="AH37" s="75"/>
      <c r="AI37" s="75"/>
      <c r="AJ37" s="81"/>
      <c r="AK37" s="75"/>
      <c r="AL37" s="75"/>
    </row>
    <row r="38" spans="1:38" ht="15.75" hidden="1" thickBot="1" x14ac:dyDescent="0.3">
      <c r="A38" s="75"/>
      <c r="B38" s="75"/>
      <c r="C38" s="35">
        <f>INDEX(Données!$F$2:$L$54,MATCH(F38,Données!$F$2:$F$54,0),2)</f>
        <v>43864</v>
      </c>
      <c r="D38" s="29" t="str">
        <f t="shared" si="0"/>
        <v>#5</v>
      </c>
      <c r="E38" s="7">
        <f>Données!G7</f>
        <v>43864</v>
      </c>
      <c r="F38" s="6" t="str">
        <f>INDEX(Données!$F$2:$L$54,MATCH('#5'!E38,Données!$G$2:$G$54,1),1)</f>
        <v>6</v>
      </c>
      <c r="G38" s="18" t="str">
        <f t="shared" si="1"/>
        <v/>
      </c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1"/>
      <c r="W38" s="75"/>
      <c r="X38" s="75"/>
      <c r="Y38" s="75"/>
      <c r="Z38" s="96">
        <f>SUM(Tableau16[[#This Row],[A-1]:[G-5]])</f>
        <v>0</v>
      </c>
      <c r="AA38" s="96" t="str">
        <f>IF(AND(Z38&gt;0,Tableau16[[#This Row],[CDS]]=""),"Oui","Non")</f>
        <v>Non</v>
      </c>
      <c r="AB38" s="75"/>
      <c r="AC38" s="75"/>
      <c r="AD38" s="75"/>
      <c r="AE38" s="75"/>
      <c r="AF38" s="75"/>
      <c r="AG38" s="75"/>
      <c r="AH38" s="75"/>
      <c r="AI38" s="75"/>
      <c r="AJ38" s="81"/>
      <c r="AK38" s="75"/>
      <c r="AL38" s="75"/>
    </row>
    <row r="39" spans="1:38" ht="15.75" hidden="1" thickBot="1" x14ac:dyDescent="0.3">
      <c r="A39" s="75"/>
      <c r="B39" s="75"/>
      <c r="C39" s="35">
        <f>INDEX(Données!$F$2:$L$54,MATCH(F39,Données!$F$2:$F$54,0),2)</f>
        <v>43864</v>
      </c>
      <c r="D39" s="29" t="str">
        <f t="shared" si="0"/>
        <v>#5</v>
      </c>
      <c r="E39" s="7">
        <f>Données!H7</f>
        <v>43865</v>
      </c>
      <c r="F39" s="6" t="str">
        <f>INDEX(Données!$F$2:$L$54,MATCH('#5'!E39,Données!$G$2:$G$54,1),1)</f>
        <v>6</v>
      </c>
      <c r="G39" s="18" t="str">
        <f t="shared" si="1"/>
        <v/>
      </c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1"/>
      <c r="W39" s="75"/>
      <c r="X39" s="75"/>
      <c r="Y39" s="75"/>
      <c r="Z39" s="96">
        <f>SUM(Tableau16[[#This Row],[A-1]:[G-5]])</f>
        <v>0</v>
      </c>
      <c r="AA39" s="96" t="str">
        <f>IF(AND(Z39&gt;0,Tableau16[[#This Row],[CDS]]=""),"Oui","Non")</f>
        <v>Non</v>
      </c>
      <c r="AB39" s="75"/>
      <c r="AC39" s="75"/>
      <c r="AD39" s="75"/>
      <c r="AE39" s="75"/>
      <c r="AF39" s="75"/>
      <c r="AG39" s="75"/>
      <c r="AH39" s="75"/>
      <c r="AI39" s="75"/>
      <c r="AJ39" s="81"/>
      <c r="AK39" s="75"/>
      <c r="AL39" s="75"/>
    </row>
    <row r="40" spans="1:38" ht="15.75" hidden="1" thickBot="1" x14ac:dyDescent="0.3">
      <c r="A40" s="75"/>
      <c r="B40" s="75"/>
      <c r="C40" s="35">
        <f>INDEX(Données!$F$2:$L$54,MATCH(F40,Données!$F$2:$F$54,0),2)</f>
        <v>43864</v>
      </c>
      <c r="D40" s="29" t="str">
        <f t="shared" si="0"/>
        <v>#5</v>
      </c>
      <c r="E40" s="7">
        <f>Données!I7</f>
        <v>43866</v>
      </c>
      <c r="F40" s="6" t="str">
        <f>INDEX(Données!$F$2:$L$54,MATCH('#5'!E40,Données!$G$2:$G$54,1),1)</f>
        <v>6</v>
      </c>
      <c r="G40" s="18" t="str">
        <f t="shared" si="1"/>
        <v/>
      </c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1"/>
      <c r="W40" s="75"/>
      <c r="X40" s="75"/>
      <c r="Y40" s="75"/>
      <c r="Z40" s="96">
        <f>SUM(Tableau16[[#This Row],[A-1]:[G-5]])</f>
        <v>0</v>
      </c>
      <c r="AA40" s="96" t="str">
        <f>IF(AND(Z40&gt;0,Tableau16[[#This Row],[CDS]]=""),"Oui","Non")</f>
        <v>Non</v>
      </c>
      <c r="AB40" s="75"/>
      <c r="AC40" s="75"/>
      <c r="AD40" s="75"/>
      <c r="AE40" s="75"/>
      <c r="AF40" s="75"/>
      <c r="AG40" s="75"/>
      <c r="AH40" s="75"/>
      <c r="AI40" s="75"/>
      <c r="AJ40" s="81"/>
      <c r="AK40" s="75"/>
      <c r="AL40" s="75"/>
    </row>
    <row r="41" spans="1:38" ht="15.75" hidden="1" thickBot="1" x14ac:dyDescent="0.3">
      <c r="A41" s="75"/>
      <c r="B41" s="75"/>
      <c r="C41" s="35">
        <f>INDEX(Données!$F$2:$L$54,MATCH(F41,Données!$F$2:$F$54,0),2)</f>
        <v>43864</v>
      </c>
      <c r="D41" s="29" t="str">
        <f t="shared" si="0"/>
        <v>#5</v>
      </c>
      <c r="E41" s="7">
        <f>Données!J7</f>
        <v>43867</v>
      </c>
      <c r="F41" s="6" t="str">
        <f>INDEX(Données!$F$2:$L$54,MATCH('#5'!E41,Données!$G$2:$G$54,1),1)</f>
        <v>6</v>
      </c>
      <c r="G41" s="18" t="str">
        <f t="shared" si="1"/>
        <v/>
      </c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1"/>
      <c r="W41" s="75"/>
      <c r="X41" s="75"/>
      <c r="Y41" s="75"/>
      <c r="Z41" s="96">
        <f>SUM(Tableau16[[#This Row],[A-1]:[G-5]])</f>
        <v>0</v>
      </c>
      <c r="AA41" s="96" t="str">
        <f>IF(AND(Z41&gt;0,Tableau16[[#This Row],[CDS]]=""),"Oui","Non")</f>
        <v>Non</v>
      </c>
      <c r="AB41" s="75"/>
      <c r="AC41" s="75"/>
      <c r="AD41" s="75"/>
      <c r="AE41" s="75"/>
      <c r="AF41" s="75"/>
      <c r="AG41" s="75"/>
      <c r="AH41" s="75"/>
      <c r="AI41" s="75"/>
      <c r="AJ41" s="81"/>
      <c r="AK41" s="75"/>
      <c r="AL41" s="75"/>
    </row>
    <row r="42" spans="1:38" ht="15.75" hidden="1" thickBot="1" x14ac:dyDescent="0.3">
      <c r="A42" s="75"/>
      <c r="B42" s="75"/>
      <c r="C42" s="35">
        <f>INDEX(Données!$F$2:$L$54,MATCH(F42,Données!$F$2:$F$54,0),2)</f>
        <v>43864</v>
      </c>
      <c r="D42" s="29" t="str">
        <f t="shared" si="0"/>
        <v>#5</v>
      </c>
      <c r="E42" s="7">
        <f>Données!K7</f>
        <v>43868</v>
      </c>
      <c r="F42" s="6" t="str">
        <f>INDEX(Données!$F$2:$L$54,MATCH('#5'!E42,Données!$G$2:$G$54,1),1)</f>
        <v>6</v>
      </c>
      <c r="G42" s="18" t="str">
        <f t="shared" si="1"/>
        <v/>
      </c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1"/>
      <c r="W42" s="75"/>
      <c r="X42" s="75"/>
      <c r="Y42" s="75"/>
      <c r="Z42" s="96">
        <f>SUM(Tableau16[[#This Row],[A-1]:[G-5]])</f>
        <v>0</v>
      </c>
      <c r="AA42" s="96" t="str">
        <f>IF(AND(Z42&gt;0,Tableau16[[#This Row],[CDS]]=""),"Oui","Non")</f>
        <v>Non</v>
      </c>
      <c r="AB42" s="75"/>
      <c r="AC42" s="75"/>
      <c r="AD42" s="75"/>
      <c r="AE42" s="75"/>
      <c r="AF42" s="75"/>
      <c r="AG42" s="75"/>
      <c r="AH42" s="75"/>
      <c r="AI42" s="75"/>
      <c r="AJ42" s="81"/>
      <c r="AK42" s="75"/>
      <c r="AL42" s="75"/>
    </row>
    <row r="43" spans="1:38" ht="15.75" hidden="1" thickBot="1" x14ac:dyDescent="0.3">
      <c r="A43" s="75"/>
      <c r="B43" s="75"/>
      <c r="C43" s="35">
        <f>INDEX(Données!$F$2:$L$54,MATCH(F43,Données!$F$2:$F$54,0),2)</f>
        <v>43864</v>
      </c>
      <c r="D43" s="29" t="str">
        <f t="shared" si="0"/>
        <v>#5</v>
      </c>
      <c r="E43" s="7">
        <f>Données!L7</f>
        <v>43869</v>
      </c>
      <c r="F43" s="6" t="str">
        <f>INDEX(Données!$F$2:$L$54,MATCH('#5'!E43,Données!$G$2:$G$54,1),1)</f>
        <v>6</v>
      </c>
      <c r="G43" s="18" t="str">
        <f t="shared" si="1"/>
        <v/>
      </c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1"/>
      <c r="W43" s="75"/>
      <c r="X43" s="75"/>
      <c r="Y43" s="75"/>
      <c r="Z43" s="96">
        <f>SUM(Tableau16[[#This Row],[A-1]:[G-5]])</f>
        <v>0</v>
      </c>
      <c r="AA43" s="96" t="str">
        <f>IF(AND(Z43&gt;0,Tableau16[[#This Row],[CDS]]=""),"Oui","Non")</f>
        <v>Non</v>
      </c>
      <c r="AB43" s="75"/>
      <c r="AC43" s="75"/>
      <c r="AD43" s="75"/>
      <c r="AE43" s="75"/>
      <c r="AF43" s="75"/>
      <c r="AG43" s="75"/>
      <c r="AH43" s="75"/>
      <c r="AI43" s="75"/>
      <c r="AJ43" s="81"/>
      <c r="AK43" s="75"/>
      <c r="AL43" s="75"/>
    </row>
    <row r="44" spans="1:38" ht="15.75" hidden="1" thickBot="1" x14ac:dyDescent="0.3">
      <c r="A44" s="75"/>
      <c r="B44" s="75"/>
      <c r="C44" s="35">
        <f>INDEX(Données!$F$2:$L$54,MATCH(F44,Données!$F$2:$F$54,0),2)</f>
        <v>43871</v>
      </c>
      <c r="D44" s="29" t="str">
        <f t="shared" si="0"/>
        <v>#5</v>
      </c>
      <c r="E44" s="7">
        <f>Données!G8</f>
        <v>43871</v>
      </c>
      <c r="F44" s="6" t="str">
        <f>INDEX(Données!$F$2:$L$54,MATCH('#5'!E44,Données!$G$2:$G$54,1),1)</f>
        <v>7</v>
      </c>
      <c r="G44" s="18" t="str">
        <f t="shared" si="1"/>
        <v/>
      </c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1"/>
      <c r="W44" s="75"/>
      <c r="X44" s="75"/>
      <c r="Y44" s="75"/>
      <c r="Z44" s="96">
        <f>SUM(Tableau16[[#This Row],[A-1]:[G-5]])</f>
        <v>0</v>
      </c>
      <c r="AA44" s="96" t="str">
        <f>IF(AND(Z44&gt;0,Tableau16[[#This Row],[CDS]]=""),"Oui","Non")</f>
        <v>Non</v>
      </c>
      <c r="AB44" s="75"/>
      <c r="AC44" s="75"/>
      <c r="AD44" s="75"/>
      <c r="AE44" s="75"/>
      <c r="AF44" s="75"/>
      <c r="AG44" s="75"/>
      <c r="AH44" s="75"/>
      <c r="AI44" s="75"/>
      <c r="AJ44" s="81"/>
      <c r="AK44" s="75"/>
      <c r="AL44" s="75"/>
    </row>
    <row r="45" spans="1:38" ht="15.75" hidden="1" thickBot="1" x14ac:dyDescent="0.3">
      <c r="A45" s="75"/>
      <c r="B45" s="75"/>
      <c r="C45" s="35">
        <f>INDEX(Données!$F$2:$L$54,MATCH(F45,Données!$F$2:$F$54,0),2)</f>
        <v>43871</v>
      </c>
      <c r="D45" s="29" t="str">
        <f t="shared" si="0"/>
        <v>#5</v>
      </c>
      <c r="E45" s="7">
        <f>Données!H8</f>
        <v>43872</v>
      </c>
      <c r="F45" s="6" t="str">
        <f>INDEX(Données!$F$2:$L$54,MATCH('#5'!E45,Données!$G$2:$G$54,1),1)</f>
        <v>7</v>
      </c>
      <c r="G45" s="18" t="str">
        <f t="shared" si="1"/>
        <v/>
      </c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1"/>
      <c r="W45" s="75"/>
      <c r="X45" s="75"/>
      <c r="Y45" s="75"/>
      <c r="Z45" s="96">
        <f>SUM(Tableau16[[#This Row],[A-1]:[G-5]])</f>
        <v>0</v>
      </c>
      <c r="AA45" s="96" t="str">
        <f>IF(AND(Z45&gt;0,Tableau16[[#This Row],[CDS]]=""),"Oui","Non")</f>
        <v>Non</v>
      </c>
      <c r="AB45" s="75"/>
      <c r="AC45" s="75"/>
      <c r="AD45" s="75"/>
      <c r="AE45" s="75"/>
      <c r="AF45" s="75"/>
      <c r="AG45" s="75"/>
      <c r="AH45" s="75"/>
      <c r="AI45" s="75"/>
      <c r="AJ45" s="81"/>
      <c r="AK45" s="75"/>
      <c r="AL45" s="75"/>
    </row>
    <row r="46" spans="1:38" ht="15.75" hidden="1" thickBot="1" x14ac:dyDescent="0.3">
      <c r="A46" s="75"/>
      <c r="B46" s="75"/>
      <c r="C46" s="35">
        <f>INDEX(Données!$F$2:$L$54,MATCH(F46,Données!$F$2:$F$54,0),2)</f>
        <v>43871</v>
      </c>
      <c r="D46" s="29" t="str">
        <f t="shared" si="0"/>
        <v>#5</v>
      </c>
      <c r="E46" s="7">
        <f>Données!I8</f>
        <v>43873</v>
      </c>
      <c r="F46" s="6" t="str">
        <f>INDEX(Données!$F$2:$L$54,MATCH('#5'!E46,Données!$G$2:$G$54,1),1)</f>
        <v>7</v>
      </c>
      <c r="G46" s="18" t="str">
        <f t="shared" si="1"/>
        <v/>
      </c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1"/>
      <c r="W46" s="75"/>
      <c r="X46" s="75"/>
      <c r="Y46" s="75"/>
      <c r="Z46" s="96">
        <f>SUM(Tableau16[[#This Row],[A-1]:[G-5]])</f>
        <v>0</v>
      </c>
      <c r="AA46" s="96" t="str">
        <f>IF(AND(Z46&gt;0,Tableau16[[#This Row],[CDS]]=""),"Oui","Non")</f>
        <v>Non</v>
      </c>
      <c r="AB46" s="75"/>
      <c r="AC46" s="75"/>
      <c r="AD46" s="75"/>
      <c r="AE46" s="75"/>
      <c r="AF46" s="75"/>
      <c r="AG46" s="75"/>
      <c r="AH46" s="75"/>
      <c r="AI46" s="75"/>
      <c r="AJ46" s="81"/>
      <c r="AK46" s="75"/>
      <c r="AL46" s="75"/>
    </row>
    <row r="47" spans="1:38" ht="15.75" hidden="1" thickBot="1" x14ac:dyDescent="0.3">
      <c r="A47" s="75"/>
      <c r="B47" s="75"/>
      <c r="C47" s="35">
        <f>INDEX(Données!$F$2:$L$54,MATCH(F47,Données!$F$2:$F$54,0),2)</f>
        <v>43871</v>
      </c>
      <c r="D47" s="29" t="str">
        <f t="shared" si="0"/>
        <v>#5</v>
      </c>
      <c r="E47" s="7">
        <f>Données!J8</f>
        <v>43874</v>
      </c>
      <c r="F47" s="6" t="str">
        <f>INDEX(Données!$F$2:$L$54,MATCH('#5'!E47,Données!$G$2:$G$54,1),1)</f>
        <v>7</v>
      </c>
      <c r="G47" s="18" t="str">
        <f t="shared" si="1"/>
        <v/>
      </c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1"/>
      <c r="W47" s="75"/>
      <c r="X47" s="75"/>
      <c r="Y47" s="75"/>
      <c r="Z47" s="96">
        <f>SUM(Tableau16[[#This Row],[A-1]:[G-5]])</f>
        <v>0</v>
      </c>
      <c r="AA47" s="96" t="str">
        <f>IF(AND(Z47&gt;0,Tableau16[[#This Row],[CDS]]=""),"Oui","Non")</f>
        <v>Non</v>
      </c>
      <c r="AB47" s="75"/>
      <c r="AC47" s="75"/>
      <c r="AD47" s="75"/>
      <c r="AE47" s="75"/>
      <c r="AF47" s="75"/>
      <c r="AG47" s="75"/>
      <c r="AH47" s="75"/>
      <c r="AI47" s="75"/>
      <c r="AJ47" s="81"/>
      <c r="AK47" s="75"/>
      <c r="AL47" s="75"/>
    </row>
    <row r="48" spans="1:38" ht="15.75" hidden="1" thickBot="1" x14ac:dyDescent="0.3">
      <c r="A48" s="75"/>
      <c r="B48" s="75"/>
      <c r="C48" s="35">
        <f>INDEX(Données!$F$2:$L$54,MATCH(F48,Données!$F$2:$F$54,0),2)</f>
        <v>43871</v>
      </c>
      <c r="D48" s="29" t="str">
        <f t="shared" si="0"/>
        <v>#5</v>
      </c>
      <c r="E48" s="7">
        <f>Données!K8</f>
        <v>43875</v>
      </c>
      <c r="F48" s="6" t="str">
        <f>INDEX(Données!$F$2:$L$54,MATCH('#5'!E48,Données!$G$2:$G$54,1),1)</f>
        <v>7</v>
      </c>
      <c r="G48" s="18" t="str">
        <f t="shared" si="1"/>
        <v/>
      </c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1"/>
      <c r="W48" s="75"/>
      <c r="X48" s="75"/>
      <c r="Y48" s="75"/>
      <c r="Z48" s="96">
        <f>SUM(Tableau16[[#This Row],[A-1]:[G-5]])</f>
        <v>0</v>
      </c>
      <c r="AA48" s="96" t="str">
        <f>IF(AND(Z48&gt;0,Tableau16[[#This Row],[CDS]]=""),"Oui","Non")</f>
        <v>Non</v>
      </c>
      <c r="AB48" s="75"/>
      <c r="AC48" s="75"/>
      <c r="AD48" s="75"/>
      <c r="AE48" s="75"/>
      <c r="AF48" s="75"/>
      <c r="AG48" s="75"/>
      <c r="AH48" s="75"/>
      <c r="AI48" s="75"/>
      <c r="AJ48" s="81"/>
      <c r="AK48" s="75"/>
      <c r="AL48" s="75"/>
    </row>
    <row r="49" spans="1:38" ht="15.75" hidden="1" thickBot="1" x14ac:dyDescent="0.3">
      <c r="A49" s="75"/>
      <c r="B49" s="75"/>
      <c r="C49" s="35">
        <f>INDEX(Données!$F$2:$L$54,MATCH(F49,Données!$F$2:$F$54,0),2)</f>
        <v>43871</v>
      </c>
      <c r="D49" s="29" t="str">
        <f t="shared" si="0"/>
        <v>#5</v>
      </c>
      <c r="E49" s="7">
        <f>Données!L8</f>
        <v>43876</v>
      </c>
      <c r="F49" s="6" t="str">
        <f>INDEX(Données!$F$2:$L$54,MATCH('#5'!E49,Données!$G$2:$G$54,1),1)</f>
        <v>7</v>
      </c>
      <c r="G49" s="18" t="str">
        <f t="shared" si="1"/>
        <v/>
      </c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1"/>
      <c r="W49" s="75"/>
      <c r="X49" s="75"/>
      <c r="Y49" s="75"/>
      <c r="Z49" s="96">
        <f>SUM(Tableau16[[#This Row],[A-1]:[G-5]])</f>
        <v>0</v>
      </c>
      <c r="AA49" s="96" t="str">
        <f>IF(AND(Z49&gt;0,Tableau16[[#This Row],[CDS]]=""),"Oui","Non")</f>
        <v>Non</v>
      </c>
      <c r="AB49" s="75"/>
      <c r="AC49" s="75"/>
      <c r="AD49" s="75"/>
      <c r="AE49" s="75"/>
      <c r="AF49" s="75"/>
      <c r="AG49" s="75"/>
      <c r="AH49" s="75"/>
      <c r="AI49" s="75"/>
      <c r="AJ49" s="81"/>
      <c r="AK49" s="75"/>
      <c r="AL49" s="75"/>
    </row>
    <row r="50" spans="1:38" ht="15.75" hidden="1" thickBot="1" x14ac:dyDescent="0.3">
      <c r="A50" s="75"/>
      <c r="B50" s="75"/>
      <c r="C50" s="35">
        <f>INDEX(Données!$F$2:$L$54,MATCH(F50,Données!$F$2:$F$54,0),2)</f>
        <v>43878</v>
      </c>
      <c r="D50" s="29" t="str">
        <f t="shared" si="0"/>
        <v>#5</v>
      </c>
      <c r="E50" s="7">
        <f>Données!G9</f>
        <v>43878</v>
      </c>
      <c r="F50" s="6" t="str">
        <f>INDEX(Données!$F$2:$L$54,MATCH('#5'!E50,Données!$G$2:$G$54,1),1)</f>
        <v>8</v>
      </c>
      <c r="G50" s="18" t="str">
        <f t="shared" si="1"/>
        <v/>
      </c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1"/>
      <c r="W50" s="75"/>
      <c r="X50" s="75"/>
      <c r="Y50" s="75"/>
      <c r="Z50" s="96">
        <f>SUM(Tableau16[[#This Row],[A-1]:[G-5]])</f>
        <v>0</v>
      </c>
      <c r="AA50" s="96" t="str">
        <f>IF(AND(Z50&gt;0,Tableau16[[#This Row],[CDS]]=""),"Oui","Non")</f>
        <v>Non</v>
      </c>
      <c r="AB50" s="75"/>
      <c r="AC50" s="75"/>
      <c r="AD50" s="75"/>
      <c r="AE50" s="75"/>
      <c r="AF50" s="75"/>
      <c r="AG50" s="75"/>
      <c r="AH50" s="75"/>
      <c r="AI50" s="75"/>
      <c r="AJ50" s="81"/>
      <c r="AK50" s="75"/>
      <c r="AL50" s="75"/>
    </row>
    <row r="51" spans="1:38" ht="15.75" hidden="1" thickBot="1" x14ac:dyDescent="0.3">
      <c r="A51" s="75"/>
      <c r="B51" s="75"/>
      <c r="C51" s="35">
        <f>INDEX(Données!$F$2:$L$54,MATCH(F51,Données!$F$2:$F$54,0),2)</f>
        <v>43878</v>
      </c>
      <c r="D51" s="29" t="str">
        <f t="shared" si="0"/>
        <v>#5</v>
      </c>
      <c r="E51" s="7">
        <f>Données!H9</f>
        <v>43879</v>
      </c>
      <c r="F51" s="6" t="str">
        <f>INDEX(Données!$F$2:$L$54,MATCH('#5'!E51,Données!$G$2:$G$54,1),1)</f>
        <v>8</v>
      </c>
      <c r="G51" s="18" t="str">
        <f t="shared" si="1"/>
        <v/>
      </c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1"/>
      <c r="W51" s="75"/>
      <c r="X51" s="75"/>
      <c r="Y51" s="75"/>
      <c r="Z51" s="96">
        <f>SUM(Tableau16[[#This Row],[A-1]:[G-5]])</f>
        <v>0</v>
      </c>
      <c r="AA51" s="96" t="str">
        <f>IF(AND(Z51&gt;0,Tableau16[[#This Row],[CDS]]=""),"Oui","Non")</f>
        <v>Non</v>
      </c>
      <c r="AB51" s="75"/>
      <c r="AC51" s="75"/>
      <c r="AD51" s="75"/>
      <c r="AE51" s="75"/>
      <c r="AF51" s="75"/>
      <c r="AG51" s="75"/>
      <c r="AH51" s="75"/>
      <c r="AI51" s="75"/>
      <c r="AJ51" s="81"/>
      <c r="AK51" s="75"/>
      <c r="AL51" s="75"/>
    </row>
    <row r="52" spans="1:38" ht="15.75" hidden="1" thickBot="1" x14ac:dyDescent="0.3">
      <c r="A52" s="75"/>
      <c r="B52" s="75"/>
      <c r="C52" s="35">
        <f>INDEX(Données!$F$2:$L$54,MATCH(F52,Données!$F$2:$F$54,0),2)</f>
        <v>43878</v>
      </c>
      <c r="D52" s="29" t="str">
        <f t="shared" si="0"/>
        <v>#5</v>
      </c>
      <c r="E52" s="7">
        <f>Données!I9</f>
        <v>43880</v>
      </c>
      <c r="F52" s="6" t="str">
        <f>INDEX(Données!$F$2:$L$54,MATCH('#5'!E52,Données!$G$2:$G$54,1),1)</f>
        <v>8</v>
      </c>
      <c r="G52" s="18" t="str">
        <f t="shared" si="1"/>
        <v/>
      </c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1"/>
      <c r="W52" s="75"/>
      <c r="X52" s="75"/>
      <c r="Y52" s="75"/>
      <c r="Z52" s="96">
        <f>SUM(Tableau16[[#This Row],[A-1]:[G-5]])</f>
        <v>0</v>
      </c>
      <c r="AA52" s="96" t="str">
        <f>IF(AND(Z52&gt;0,Tableau16[[#This Row],[CDS]]=""),"Oui","Non")</f>
        <v>Non</v>
      </c>
      <c r="AB52" s="75"/>
      <c r="AC52" s="75"/>
      <c r="AD52" s="75"/>
      <c r="AE52" s="75"/>
      <c r="AF52" s="75"/>
      <c r="AG52" s="75"/>
      <c r="AH52" s="75"/>
      <c r="AI52" s="75"/>
      <c r="AJ52" s="81"/>
      <c r="AK52" s="75"/>
      <c r="AL52" s="75"/>
    </row>
    <row r="53" spans="1:38" ht="15.75" hidden="1" thickBot="1" x14ac:dyDescent="0.3">
      <c r="A53" s="75"/>
      <c r="B53" s="75"/>
      <c r="C53" s="35">
        <f>INDEX(Données!$F$2:$L$54,MATCH(F53,Données!$F$2:$F$54,0),2)</f>
        <v>43878</v>
      </c>
      <c r="D53" s="29" t="str">
        <f t="shared" si="0"/>
        <v>#5</v>
      </c>
      <c r="E53" s="7">
        <f>Données!J9</f>
        <v>43881</v>
      </c>
      <c r="F53" s="6" t="str">
        <f>INDEX(Données!$F$2:$L$54,MATCH('#5'!E53,Données!$G$2:$G$54,1),1)</f>
        <v>8</v>
      </c>
      <c r="G53" s="18" t="str">
        <f t="shared" si="1"/>
        <v/>
      </c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1"/>
      <c r="W53" s="75"/>
      <c r="X53" s="75"/>
      <c r="Y53" s="75"/>
      <c r="Z53" s="96">
        <f>SUM(Tableau16[[#This Row],[A-1]:[G-5]])</f>
        <v>0</v>
      </c>
      <c r="AA53" s="96" t="str">
        <f>IF(AND(Z53&gt;0,Tableau16[[#This Row],[CDS]]=""),"Oui","Non")</f>
        <v>Non</v>
      </c>
      <c r="AB53" s="75"/>
      <c r="AC53" s="75"/>
      <c r="AD53" s="75"/>
      <c r="AE53" s="75"/>
      <c r="AF53" s="75"/>
      <c r="AG53" s="75"/>
      <c r="AH53" s="75"/>
      <c r="AI53" s="75"/>
      <c r="AJ53" s="81"/>
      <c r="AK53" s="75"/>
      <c r="AL53" s="75"/>
    </row>
    <row r="54" spans="1:38" ht="15.75" hidden="1" thickBot="1" x14ac:dyDescent="0.3">
      <c r="A54" s="75"/>
      <c r="B54" s="75"/>
      <c r="C54" s="35">
        <f>INDEX(Données!$F$2:$L$54,MATCH(F54,Données!$F$2:$F$54,0),2)</f>
        <v>43878</v>
      </c>
      <c r="D54" s="29" t="str">
        <f t="shared" si="0"/>
        <v>#5</v>
      </c>
      <c r="E54" s="7">
        <f>Données!K9</f>
        <v>43882</v>
      </c>
      <c r="F54" s="6" t="str">
        <f>INDEX(Données!$F$2:$L$54,MATCH('#5'!E54,Données!$G$2:$G$54,1),1)</f>
        <v>8</v>
      </c>
      <c r="G54" s="18" t="str">
        <f t="shared" si="1"/>
        <v/>
      </c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1"/>
      <c r="W54" s="75"/>
      <c r="X54" s="75"/>
      <c r="Y54" s="75"/>
      <c r="Z54" s="96">
        <f>SUM(Tableau16[[#This Row],[A-1]:[G-5]])</f>
        <v>0</v>
      </c>
      <c r="AA54" s="96" t="str">
        <f>IF(AND(Z54&gt;0,Tableau16[[#This Row],[CDS]]=""),"Oui","Non")</f>
        <v>Non</v>
      </c>
      <c r="AB54" s="75"/>
      <c r="AC54" s="75"/>
      <c r="AD54" s="75"/>
      <c r="AE54" s="75"/>
      <c r="AF54" s="75"/>
      <c r="AG54" s="75"/>
      <c r="AH54" s="75"/>
      <c r="AI54" s="75"/>
      <c r="AJ54" s="81"/>
      <c r="AK54" s="75"/>
      <c r="AL54" s="75"/>
    </row>
    <row r="55" spans="1:38" ht="15.75" hidden="1" thickBot="1" x14ac:dyDescent="0.3">
      <c r="A55" s="75"/>
      <c r="B55" s="75"/>
      <c r="C55" s="35">
        <f>INDEX(Données!$F$2:$L$54,MATCH(F55,Données!$F$2:$F$54,0),2)</f>
        <v>43878</v>
      </c>
      <c r="D55" s="29" t="str">
        <f t="shared" si="0"/>
        <v>#5</v>
      </c>
      <c r="E55" s="7">
        <f>Données!L9</f>
        <v>43883</v>
      </c>
      <c r="F55" s="6" t="str">
        <f>INDEX(Données!$F$2:$L$54,MATCH('#5'!E55,Données!$G$2:$G$54,1),1)</f>
        <v>8</v>
      </c>
      <c r="G55" s="18" t="str">
        <f t="shared" si="1"/>
        <v/>
      </c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1"/>
      <c r="W55" s="75"/>
      <c r="X55" s="75"/>
      <c r="Y55" s="75"/>
      <c r="Z55" s="96">
        <f>SUM(Tableau16[[#This Row],[A-1]:[G-5]])</f>
        <v>0</v>
      </c>
      <c r="AA55" s="96" t="str">
        <f>IF(AND(Z55&gt;0,Tableau16[[#This Row],[CDS]]=""),"Oui","Non")</f>
        <v>Non</v>
      </c>
      <c r="AB55" s="75"/>
      <c r="AC55" s="75"/>
      <c r="AD55" s="75"/>
      <c r="AE55" s="75"/>
      <c r="AF55" s="75"/>
      <c r="AG55" s="75"/>
      <c r="AH55" s="75"/>
      <c r="AI55" s="75"/>
      <c r="AJ55" s="81"/>
      <c r="AK55" s="75"/>
      <c r="AL55" s="75"/>
    </row>
    <row r="56" spans="1:38" ht="15.75" hidden="1" thickBot="1" x14ac:dyDescent="0.3">
      <c r="A56" s="75"/>
      <c r="B56" s="75"/>
      <c r="C56" s="35">
        <f>INDEX(Données!$F$2:$L$54,MATCH(F56,Données!$F$2:$F$54,0),2)</f>
        <v>43885</v>
      </c>
      <c r="D56" s="29" t="str">
        <f t="shared" si="0"/>
        <v>#5</v>
      </c>
      <c r="E56" s="7">
        <f>Données!G10</f>
        <v>43885</v>
      </c>
      <c r="F56" s="6" t="str">
        <f>INDEX(Données!$F$2:$L$54,MATCH('#5'!E56,Données!$G$2:$G$54,1),1)</f>
        <v>9</v>
      </c>
      <c r="G56" s="18" t="str">
        <f t="shared" si="1"/>
        <v/>
      </c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1"/>
      <c r="W56" s="75"/>
      <c r="X56" s="75"/>
      <c r="Y56" s="75"/>
      <c r="Z56" s="96">
        <f>SUM(Tableau16[[#This Row],[A-1]:[G-5]])</f>
        <v>0</v>
      </c>
      <c r="AA56" s="96" t="str">
        <f>IF(AND(Z56&gt;0,Tableau16[[#This Row],[CDS]]=""),"Oui","Non")</f>
        <v>Non</v>
      </c>
      <c r="AB56" s="75"/>
      <c r="AC56" s="75"/>
      <c r="AD56" s="75"/>
      <c r="AE56" s="75"/>
      <c r="AF56" s="75"/>
      <c r="AG56" s="75"/>
      <c r="AH56" s="75"/>
      <c r="AI56" s="75"/>
      <c r="AJ56" s="81"/>
      <c r="AK56" s="75"/>
      <c r="AL56" s="75"/>
    </row>
    <row r="57" spans="1:38" ht="15.75" hidden="1" thickBot="1" x14ac:dyDescent="0.3">
      <c r="A57" s="75"/>
      <c r="B57" s="75"/>
      <c r="C57" s="35">
        <f>INDEX(Données!$F$2:$L$54,MATCH(F57,Données!$F$2:$F$54,0),2)</f>
        <v>43885</v>
      </c>
      <c r="D57" s="29" t="str">
        <f t="shared" si="0"/>
        <v>#5</v>
      </c>
      <c r="E57" s="7">
        <f>Données!H10</f>
        <v>43886</v>
      </c>
      <c r="F57" s="6" t="str">
        <f>INDEX(Données!$F$2:$L$54,MATCH('#5'!E57,Données!$G$2:$G$54,1),1)</f>
        <v>9</v>
      </c>
      <c r="G57" s="18" t="str">
        <f t="shared" si="1"/>
        <v/>
      </c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1"/>
      <c r="W57" s="75"/>
      <c r="X57" s="75"/>
      <c r="Y57" s="75"/>
      <c r="Z57" s="96">
        <f>SUM(Tableau16[[#This Row],[A-1]:[G-5]])</f>
        <v>0</v>
      </c>
      <c r="AA57" s="96" t="str">
        <f>IF(AND(Z57&gt;0,Tableau16[[#This Row],[CDS]]=""),"Oui","Non")</f>
        <v>Non</v>
      </c>
      <c r="AB57" s="75"/>
      <c r="AC57" s="75"/>
      <c r="AD57" s="75"/>
      <c r="AE57" s="75"/>
      <c r="AF57" s="75"/>
      <c r="AG57" s="75"/>
      <c r="AH57" s="75"/>
      <c r="AI57" s="75"/>
      <c r="AJ57" s="81"/>
      <c r="AK57" s="75"/>
      <c r="AL57" s="75"/>
    </row>
    <row r="58" spans="1:38" ht="15.75" hidden="1" thickBot="1" x14ac:dyDescent="0.3">
      <c r="A58" s="75"/>
      <c r="B58" s="75"/>
      <c r="C58" s="35">
        <f>INDEX(Données!$F$2:$L$54,MATCH(F58,Données!$F$2:$F$54,0),2)</f>
        <v>43885</v>
      </c>
      <c r="D58" s="29" t="str">
        <f t="shared" si="0"/>
        <v>#5</v>
      </c>
      <c r="E58" s="7">
        <f>Données!I10</f>
        <v>43887</v>
      </c>
      <c r="F58" s="6" t="str">
        <f>INDEX(Données!$F$2:$L$54,MATCH('#5'!E58,Données!$G$2:$G$54,1),1)</f>
        <v>9</v>
      </c>
      <c r="G58" s="18" t="str">
        <f t="shared" si="1"/>
        <v/>
      </c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1"/>
      <c r="W58" s="75"/>
      <c r="X58" s="75"/>
      <c r="Y58" s="75"/>
      <c r="Z58" s="96">
        <f>SUM(Tableau16[[#This Row],[A-1]:[G-5]])</f>
        <v>0</v>
      </c>
      <c r="AA58" s="96" t="str">
        <f>IF(AND(Z58&gt;0,Tableau16[[#This Row],[CDS]]=""),"Oui","Non")</f>
        <v>Non</v>
      </c>
      <c r="AB58" s="75"/>
      <c r="AC58" s="75"/>
      <c r="AD58" s="75"/>
      <c r="AE58" s="75"/>
      <c r="AF58" s="75"/>
      <c r="AG58" s="75"/>
      <c r="AH58" s="75"/>
      <c r="AI58" s="75"/>
      <c r="AJ58" s="81"/>
      <c r="AK58" s="75"/>
      <c r="AL58" s="75"/>
    </row>
    <row r="59" spans="1:38" ht="15.75" hidden="1" thickBot="1" x14ac:dyDescent="0.3">
      <c r="A59" s="75"/>
      <c r="B59" s="75"/>
      <c r="C59" s="35">
        <f>INDEX(Données!$F$2:$L$54,MATCH(F59,Données!$F$2:$F$54,0),2)</f>
        <v>43885</v>
      </c>
      <c r="D59" s="29" t="str">
        <f t="shared" si="0"/>
        <v>#5</v>
      </c>
      <c r="E59" s="7">
        <f>Données!J10</f>
        <v>43888</v>
      </c>
      <c r="F59" s="6" t="str">
        <f>INDEX(Données!$F$2:$L$54,MATCH('#5'!E59,Données!$G$2:$G$54,1),1)</f>
        <v>9</v>
      </c>
      <c r="G59" s="18" t="str">
        <f t="shared" si="1"/>
        <v/>
      </c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1"/>
      <c r="W59" s="75"/>
      <c r="X59" s="75"/>
      <c r="Y59" s="75"/>
      <c r="Z59" s="96">
        <f>SUM(Tableau16[[#This Row],[A-1]:[G-5]])</f>
        <v>0</v>
      </c>
      <c r="AA59" s="96" t="str">
        <f>IF(AND(Z59&gt;0,Tableau16[[#This Row],[CDS]]=""),"Oui","Non")</f>
        <v>Non</v>
      </c>
      <c r="AB59" s="75"/>
      <c r="AC59" s="75"/>
      <c r="AD59" s="75"/>
      <c r="AE59" s="75"/>
      <c r="AF59" s="75"/>
      <c r="AG59" s="75"/>
      <c r="AH59" s="75"/>
      <c r="AI59" s="75"/>
      <c r="AJ59" s="81"/>
      <c r="AK59" s="75"/>
      <c r="AL59" s="75"/>
    </row>
    <row r="60" spans="1:38" ht="15.75" hidden="1" thickBot="1" x14ac:dyDescent="0.3">
      <c r="A60" s="75"/>
      <c r="B60" s="75"/>
      <c r="C60" s="35">
        <f>INDEX(Données!$F$2:$L$54,MATCH(F60,Données!$F$2:$F$54,0),2)</f>
        <v>43885</v>
      </c>
      <c r="D60" s="29" t="str">
        <f t="shared" si="0"/>
        <v>#5</v>
      </c>
      <c r="E60" s="7">
        <f>Données!K10</f>
        <v>43889</v>
      </c>
      <c r="F60" s="6" t="str">
        <f>INDEX(Données!$F$2:$L$54,MATCH('#5'!E60,Données!$G$2:$G$54,1),1)</f>
        <v>9</v>
      </c>
      <c r="G60" s="18" t="str">
        <f t="shared" si="1"/>
        <v/>
      </c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1"/>
      <c r="W60" s="75"/>
      <c r="X60" s="75"/>
      <c r="Y60" s="75"/>
      <c r="Z60" s="96">
        <f>SUM(Tableau16[[#This Row],[A-1]:[G-5]])</f>
        <v>0</v>
      </c>
      <c r="AA60" s="96" t="str">
        <f>IF(AND(Z60&gt;0,Tableau16[[#This Row],[CDS]]=""),"Oui","Non")</f>
        <v>Non</v>
      </c>
      <c r="AB60" s="75"/>
      <c r="AC60" s="75"/>
      <c r="AD60" s="75"/>
      <c r="AE60" s="75"/>
      <c r="AF60" s="75"/>
      <c r="AG60" s="75"/>
      <c r="AH60" s="75"/>
      <c r="AI60" s="75"/>
      <c r="AJ60" s="81"/>
      <c r="AK60" s="75"/>
      <c r="AL60" s="75"/>
    </row>
    <row r="61" spans="1:38" ht="15.75" hidden="1" thickBot="1" x14ac:dyDescent="0.3">
      <c r="A61" s="75"/>
      <c r="B61" s="75"/>
      <c r="C61" s="35">
        <f>INDEX(Données!$F$2:$L$54,MATCH(F61,Données!$F$2:$F$54,0),2)</f>
        <v>43885</v>
      </c>
      <c r="D61" s="29" t="str">
        <f t="shared" si="0"/>
        <v>#5</v>
      </c>
      <c r="E61" s="7">
        <f>Données!L10</f>
        <v>43890</v>
      </c>
      <c r="F61" s="6" t="str">
        <f>INDEX(Données!$F$2:$L$54,MATCH('#5'!E61,Données!$G$2:$G$54,1),1)</f>
        <v>9</v>
      </c>
      <c r="G61" s="18" t="str">
        <f t="shared" si="1"/>
        <v/>
      </c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1"/>
      <c r="W61" s="75"/>
      <c r="X61" s="75"/>
      <c r="Y61" s="75"/>
      <c r="Z61" s="96">
        <f>SUM(Tableau16[[#This Row],[A-1]:[G-5]])</f>
        <v>0</v>
      </c>
      <c r="AA61" s="96" t="str">
        <f>IF(AND(Z61&gt;0,Tableau16[[#This Row],[CDS]]=""),"Oui","Non")</f>
        <v>Non</v>
      </c>
      <c r="AB61" s="75"/>
      <c r="AC61" s="75"/>
      <c r="AD61" s="75"/>
      <c r="AE61" s="75"/>
      <c r="AF61" s="75"/>
      <c r="AG61" s="75"/>
      <c r="AH61" s="75"/>
      <c r="AI61" s="75"/>
      <c r="AJ61" s="81"/>
      <c r="AK61" s="75"/>
      <c r="AL61" s="75"/>
    </row>
    <row r="62" spans="1:38" ht="15.75" hidden="1" thickBot="1" x14ac:dyDescent="0.3">
      <c r="A62" s="75"/>
      <c r="B62" s="75"/>
      <c r="C62" s="35">
        <f>INDEX(Données!$F$2:$L$54,MATCH(F62,Données!$F$2:$F$54,0),2)</f>
        <v>43892</v>
      </c>
      <c r="D62" s="29" t="str">
        <f t="shared" si="0"/>
        <v>#5</v>
      </c>
      <c r="E62" s="7">
        <f>Données!G11</f>
        <v>43892</v>
      </c>
      <c r="F62" s="6" t="str">
        <f>INDEX(Données!$F$2:$L$54,MATCH('#5'!E62,Données!$G$2:$G$54,1),1)</f>
        <v>10</v>
      </c>
      <c r="G62" s="18" t="str">
        <f t="shared" si="1"/>
        <v/>
      </c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1"/>
      <c r="W62" s="75"/>
      <c r="X62" s="75"/>
      <c r="Y62" s="75"/>
      <c r="Z62" s="96">
        <f>SUM(Tableau16[[#This Row],[A-1]:[G-5]])</f>
        <v>0</v>
      </c>
      <c r="AA62" s="96" t="str">
        <f>IF(AND(Z62&gt;0,Tableau16[[#This Row],[CDS]]=""),"Oui","Non")</f>
        <v>Non</v>
      </c>
      <c r="AB62" s="75"/>
      <c r="AC62" s="75"/>
      <c r="AD62" s="75"/>
      <c r="AE62" s="75"/>
      <c r="AF62" s="75"/>
      <c r="AG62" s="75"/>
      <c r="AH62" s="75"/>
      <c r="AI62" s="75"/>
      <c r="AJ62" s="81"/>
      <c r="AK62" s="75"/>
      <c r="AL62" s="75"/>
    </row>
    <row r="63" spans="1:38" ht="15.75" hidden="1" thickBot="1" x14ac:dyDescent="0.3">
      <c r="A63" s="75"/>
      <c r="B63" s="75"/>
      <c r="C63" s="35">
        <f>INDEX(Données!$F$2:$L$54,MATCH(F63,Données!$F$2:$F$54,0),2)</f>
        <v>43892</v>
      </c>
      <c r="D63" s="29" t="str">
        <f t="shared" si="0"/>
        <v>#5</v>
      </c>
      <c r="E63" s="7">
        <f>Données!H11</f>
        <v>43893</v>
      </c>
      <c r="F63" s="6" t="str">
        <f>INDEX(Données!$F$2:$L$54,MATCH('#5'!E63,Données!$G$2:$G$54,1),1)</f>
        <v>10</v>
      </c>
      <c r="G63" s="18" t="str">
        <f t="shared" si="1"/>
        <v/>
      </c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1"/>
      <c r="W63" s="75"/>
      <c r="X63" s="75"/>
      <c r="Y63" s="75"/>
      <c r="Z63" s="96">
        <f>SUM(Tableau16[[#This Row],[A-1]:[G-5]])</f>
        <v>0</v>
      </c>
      <c r="AA63" s="96" t="str">
        <f>IF(AND(Z63&gt;0,Tableau16[[#This Row],[CDS]]=""),"Oui","Non")</f>
        <v>Non</v>
      </c>
      <c r="AB63" s="75"/>
      <c r="AC63" s="75"/>
      <c r="AD63" s="75"/>
      <c r="AE63" s="75"/>
      <c r="AF63" s="75"/>
      <c r="AG63" s="75"/>
      <c r="AH63" s="75"/>
      <c r="AI63" s="75"/>
      <c r="AJ63" s="81"/>
      <c r="AK63" s="75"/>
      <c r="AL63" s="75"/>
    </row>
    <row r="64" spans="1:38" ht="15.75" hidden="1" thickBot="1" x14ac:dyDescent="0.3">
      <c r="A64" s="75"/>
      <c r="B64" s="75"/>
      <c r="C64" s="35">
        <f>INDEX(Données!$F$2:$L$54,MATCH(F64,Données!$F$2:$F$54,0),2)</f>
        <v>43892</v>
      </c>
      <c r="D64" s="29" t="str">
        <f t="shared" si="0"/>
        <v>#5</v>
      </c>
      <c r="E64" s="7">
        <f>Données!I11</f>
        <v>43894</v>
      </c>
      <c r="F64" s="6" t="str">
        <f>INDEX(Données!$F$2:$L$54,MATCH('#5'!E64,Données!$G$2:$G$54,1),1)</f>
        <v>10</v>
      </c>
      <c r="G64" s="18" t="str">
        <f t="shared" si="1"/>
        <v/>
      </c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1"/>
      <c r="W64" s="75"/>
      <c r="X64" s="75"/>
      <c r="Y64" s="75"/>
      <c r="Z64" s="96">
        <f>SUM(Tableau16[[#This Row],[A-1]:[G-5]])</f>
        <v>0</v>
      </c>
      <c r="AA64" s="96" t="str">
        <f>IF(AND(Z64&gt;0,Tableau16[[#This Row],[CDS]]=""),"Oui","Non")</f>
        <v>Non</v>
      </c>
      <c r="AB64" s="75"/>
      <c r="AC64" s="75"/>
      <c r="AD64" s="75"/>
      <c r="AE64" s="75"/>
      <c r="AF64" s="75"/>
      <c r="AG64" s="75"/>
      <c r="AH64" s="75"/>
      <c r="AI64" s="75"/>
      <c r="AJ64" s="81"/>
      <c r="AK64" s="75"/>
      <c r="AL64" s="75"/>
    </row>
    <row r="65" spans="1:38" ht="15.75" hidden="1" thickBot="1" x14ac:dyDescent="0.3">
      <c r="A65" s="75"/>
      <c r="B65" s="75"/>
      <c r="C65" s="35">
        <f>INDEX(Données!$F$2:$L$54,MATCH(F65,Données!$F$2:$F$54,0),2)</f>
        <v>43892</v>
      </c>
      <c r="D65" s="29" t="str">
        <f t="shared" si="0"/>
        <v>#5</v>
      </c>
      <c r="E65" s="7">
        <f>Données!J11</f>
        <v>43895</v>
      </c>
      <c r="F65" s="6" t="str">
        <f>INDEX(Données!$F$2:$L$54,MATCH('#5'!E65,Données!$G$2:$G$54,1),1)</f>
        <v>10</v>
      </c>
      <c r="G65" s="18" t="str">
        <f t="shared" si="1"/>
        <v/>
      </c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1"/>
      <c r="W65" s="75"/>
      <c r="X65" s="75"/>
      <c r="Y65" s="75"/>
      <c r="Z65" s="96">
        <f>SUM(Tableau16[[#This Row],[A-1]:[G-5]])</f>
        <v>0</v>
      </c>
      <c r="AA65" s="96" t="str">
        <f>IF(AND(Z65&gt;0,Tableau16[[#This Row],[CDS]]=""),"Oui","Non")</f>
        <v>Non</v>
      </c>
      <c r="AB65" s="75"/>
      <c r="AC65" s="75"/>
      <c r="AD65" s="75"/>
      <c r="AE65" s="75"/>
      <c r="AF65" s="75"/>
      <c r="AG65" s="75"/>
      <c r="AH65" s="75"/>
      <c r="AI65" s="75"/>
      <c r="AJ65" s="81"/>
      <c r="AK65" s="75"/>
      <c r="AL65" s="75"/>
    </row>
    <row r="66" spans="1:38" ht="15.75" hidden="1" thickBot="1" x14ac:dyDescent="0.3">
      <c r="A66" s="75"/>
      <c r="B66" s="75"/>
      <c r="C66" s="35">
        <f>INDEX(Données!$F$2:$L$54,MATCH(F66,Données!$F$2:$F$54,0),2)</f>
        <v>43892</v>
      </c>
      <c r="D66" s="29" t="str">
        <f t="shared" si="0"/>
        <v>#5</v>
      </c>
      <c r="E66" s="7">
        <f>Données!K11</f>
        <v>43896</v>
      </c>
      <c r="F66" s="6" t="str">
        <f>INDEX(Données!$F$2:$L$54,MATCH('#5'!E66,Données!$G$2:$G$54,1),1)</f>
        <v>10</v>
      </c>
      <c r="G66" s="18" t="str">
        <f t="shared" si="1"/>
        <v/>
      </c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1"/>
      <c r="W66" s="75"/>
      <c r="X66" s="75"/>
      <c r="Y66" s="75"/>
      <c r="Z66" s="96">
        <f>SUM(Tableau16[[#This Row],[A-1]:[G-5]])</f>
        <v>0</v>
      </c>
      <c r="AA66" s="96" t="str">
        <f>IF(AND(Z66&gt;0,Tableau16[[#This Row],[CDS]]=""),"Oui","Non")</f>
        <v>Non</v>
      </c>
      <c r="AB66" s="75"/>
      <c r="AC66" s="75"/>
      <c r="AD66" s="75"/>
      <c r="AE66" s="75"/>
      <c r="AF66" s="75"/>
      <c r="AG66" s="75"/>
      <c r="AH66" s="75"/>
      <c r="AI66" s="75"/>
      <c r="AJ66" s="81"/>
      <c r="AK66" s="75"/>
      <c r="AL66" s="75"/>
    </row>
    <row r="67" spans="1:38" ht="15.75" hidden="1" thickBot="1" x14ac:dyDescent="0.3">
      <c r="A67" s="75"/>
      <c r="B67" s="75"/>
      <c r="C67" s="35">
        <f>INDEX(Données!$F$2:$L$54,MATCH(F67,Données!$F$2:$F$54,0),2)</f>
        <v>43892</v>
      </c>
      <c r="D67" s="29" t="str">
        <f t="shared" si="0"/>
        <v>#5</v>
      </c>
      <c r="E67" s="7">
        <f>Données!L11</f>
        <v>43897</v>
      </c>
      <c r="F67" s="6" t="str">
        <f>INDEX(Données!$F$2:$L$54,MATCH('#5'!E67,Données!$G$2:$G$54,1),1)</f>
        <v>10</v>
      </c>
      <c r="G67" s="18" t="str">
        <f t="shared" si="1"/>
        <v/>
      </c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1"/>
      <c r="W67" s="75"/>
      <c r="X67" s="75"/>
      <c r="Y67" s="75"/>
      <c r="Z67" s="96">
        <f>SUM(Tableau16[[#This Row],[A-1]:[G-5]])</f>
        <v>0</v>
      </c>
      <c r="AA67" s="96" t="str">
        <f>IF(AND(Z67&gt;0,Tableau16[[#This Row],[CDS]]=""),"Oui","Non")</f>
        <v>Non</v>
      </c>
      <c r="AB67" s="75"/>
      <c r="AC67" s="75"/>
      <c r="AD67" s="75"/>
      <c r="AE67" s="75"/>
      <c r="AF67" s="75"/>
      <c r="AG67" s="75"/>
      <c r="AH67" s="75"/>
      <c r="AI67" s="75"/>
      <c r="AJ67" s="81"/>
      <c r="AK67" s="75"/>
      <c r="AL67" s="75"/>
    </row>
    <row r="68" spans="1:38" ht="15.75" hidden="1" thickBot="1" x14ac:dyDescent="0.3">
      <c r="A68" s="75"/>
      <c r="B68" s="75"/>
      <c r="C68" s="35">
        <f>INDEX(Données!$F$2:$L$54,MATCH(F68,Données!$F$2:$F$54,0),2)</f>
        <v>43899</v>
      </c>
      <c r="D68" s="29" t="str">
        <f t="shared" si="0"/>
        <v>#5</v>
      </c>
      <c r="E68" s="7">
        <f>Données!G12</f>
        <v>43899</v>
      </c>
      <c r="F68" s="6" t="str">
        <f>INDEX(Données!$F$2:$L$54,MATCH('#5'!E68,Données!$G$2:$G$54,1),1)</f>
        <v>11</v>
      </c>
      <c r="G68" s="18" t="str">
        <f t="shared" si="1"/>
        <v/>
      </c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1"/>
      <c r="W68" s="75"/>
      <c r="X68" s="75"/>
      <c r="Y68" s="75"/>
      <c r="Z68" s="96">
        <f>SUM(Tableau16[[#This Row],[A-1]:[G-5]])</f>
        <v>0</v>
      </c>
      <c r="AA68" s="96" t="str">
        <f>IF(AND(Z68&gt;0,Tableau16[[#This Row],[CDS]]=""),"Oui","Non")</f>
        <v>Non</v>
      </c>
      <c r="AB68" s="75"/>
      <c r="AC68" s="75"/>
      <c r="AD68" s="75"/>
      <c r="AE68" s="75"/>
      <c r="AF68" s="75"/>
      <c r="AG68" s="75"/>
      <c r="AH68" s="75"/>
      <c r="AI68" s="75"/>
      <c r="AJ68" s="81"/>
      <c r="AK68" s="75"/>
      <c r="AL68" s="75"/>
    </row>
    <row r="69" spans="1:38" ht="15.75" hidden="1" thickBot="1" x14ac:dyDescent="0.3">
      <c r="A69" s="75"/>
      <c r="B69" s="75"/>
      <c r="C69" s="35">
        <f>INDEX(Données!$F$2:$L$54,MATCH(F69,Données!$F$2:$F$54,0),2)</f>
        <v>43899</v>
      </c>
      <c r="D69" s="29" t="str">
        <f t="shared" si="0"/>
        <v>#5</v>
      </c>
      <c r="E69" s="7">
        <f>Données!H12</f>
        <v>43900</v>
      </c>
      <c r="F69" s="6" t="str">
        <f>INDEX(Données!$F$2:$L$54,MATCH('#5'!E69,Données!$G$2:$G$54,1),1)</f>
        <v>11</v>
      </c>
      <c r="G69" s="18" t="str">
        <f t="shared" si="1"/>
        <v/>
      </c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1"/>
      <c r="W69" s="75"/>
      <c r="X69" s="75"/>
      <c r="Y69" s="75"/>
      <c r="Z69" s="96">
        <f>SUM(Tableau16[[#This Row],[A-1]:[G-5]])</f>
        <v>0</v>
      </c>
      <c r="AA69" s="96" t="str">
        <f>IF(AND(Z69&gt;0,Tableau16[[#This Row],[CDS]]=""),"Oui","Non")</f>
        <v>Non</v>
      </c>
      <c r="AB69" s="75"/>
      <c r="AC69" s="75"/>
      <c r="AD69" s="75"/>
      <c r="AE69" s="75"/>
      <c r="AF69" s="75"/>
      <c r="AG69" s="75"/>
      <c r="AH69" s="75"/>
      <c r="AI69" s="75"/>
      <c r="AJ69" s="81"/>
      <c r="AK69" s="75"/>
      <c r="AL69" s="75"/>
    </row>
    <row r="70" spans="1:38" ht="15.75" hidden="1" thickBot="1" x14ac:dyDescent="0.3">
      <c r="A70" s="75"/>
      <c r="B70" s="75"/>
      <c r="C70" s="35">
        <f>INDEX(Données!$F$2:$L$54,MATCH(F70,Données!$F$2:$F$54,0),2)</f>
        <v>43899</v>
      </c>
      <c r="D70" s="29" t="str">
        <f t="shared" si="0"/>
        <v>#5</v>
      </c>
      <c r="E70" s="7">
        <f>Données!I12</f>
        <v>43901</v>
      </c>
      <c r="F70" s="6" t="str">
        <f>INDEX(Données!$F$2:$L$54,MATCH('#5'!E70,Données!$G$2:$G$54,1),1)</f>
        <v>11</v>
      </c>
      <c r="G70" s="18" t="str">
        <f t="shared" si="1"/>
        <v/>
      </c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1"/>
      <c r="W70" s="75"/>
      <c r="X70" s="75"/>
      <c r="Y70" s="75"/>
      <c r="Z70" s="96">
        <f>SUM(Tableau16[[#This Row],[A-1]:[G-5]])</f>
        <v>0</v>
      </c>
      <c r="AA70" s="96" t="str">
        <f>IF(AND(Z70&gt;0,Tableau16[[#This Row],[CDS]]=""),"Oui","Non")</f>
        <v>Non</v>
      </c>
      <c r="AB70" s="75"/>
      <c r="AC70" s="75"/>
      <c r="AD70" s="75"/>
      <c r="AE70" s="75"/>
      <c r="AF70" s="75"/>
      <c r="AG70" s="75"/>
      <c r="AH70" s="75"/>
      <c r="AI70" s="75"/>
      <c r="AJ70" s="81"/>
      <c r="AK70" s="75"/>
      <c r="AL70" s="75"/>
    </row>
    <row r="71" spans="1:38" ht="15.75" hidden="1" thickBot="1" x14ac:dyDescent="0.3">
      <c r="A71" s="75"/>
      <c r="B71" s="75"/>
      <c r="C71" s="35">
        <f>INDEX(Données!$F$2:$L$54,MATCH(F71,Données!$F$2:$F$54,0),2)</f>
        <v>43899</v>
      </c>
      <c r="D71" s="29" t="str">
        <f t="shared" si="0"/>
        <v>#5</v>
      </c>
      <c r="E71" s="7">
        <f>Données!J12</f>
        <v>43902</v>
      </c>
      <c r="F71" s="6" t="str">
        <f>INDEX(Données!$F$2:$L$54,MATCH('#5'!E71,Données!$G$2:$G$54,1),1)</f>
        <v>11</v>
      </c>
      <c r="G71" s="18" t="str">
        <f t="shared" si="1"/>
        <v/>
      </c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1"/>
      <c r="W71" s="75"/>
      <c r="X71" s="75"/>
      <c r="Y71" s="75"/>
      <c r="Z71" s="96">
        <f>SUM(Tableau16[[#This Row],[A-1]:[G-5]])</f>
        <v>0</v>
      </c>
      <c r="AA71" s="96" t="str">
        <f>IF(AND(Z71&gt;0,Tableau16[[#This Row],[CDS]]=""),"Oui","Non")</f>
        <v>Non</v>
      </c>
      <c r="AB71" s="75"/>
      <c r="AC71" s="75"/>
      <c r="AD71" s="75"/>
      <c r="AE71" s="75"/>
      <c r="AF71" s="75"/>
      <c r="AG71" s="75"/>
      <c r="AH71" s="75"/>
      <c r="AI71" s="75"/>
      <c r="AJ71" s="81"/>
      <c r="AK71" s="75"/>
      <c r="AL71" s="75"/>
    </row>
    <row r="72" spans="1:38" ht="15.75" hidden="1" thickBot="1" x14ac:dyDescent="0.3">
      <c r="A72" s="75"/>
      <c r="B72" s="75"/>
      <c r="C72" s="35">
        <f>INDEX(Données!$F$2:$L$54,MATCH(F72,Données!$F$2:$F$54,0),2)</f>
        <v>43899</v>
      </c>
      <c r="D72" s="29" t="str">
        <f t="shared" ref="D72:D135" si="2">$E$4</f>
        <v>#5</v>
      </c>
      <c r="E72" s="7">
        <f>Données!K12</f>
        <v>43903</v>
      </c>
      <c r="F72" s="6" t="str">
        <f>INDEX(Données!$F$2:$L$54,MATCH('#5'!E72,Données!$G$2:$G$54,1),1)</f>
        <v>11</v>
      </c>
      <c r="G72" s="18" t="str">
        <f t="shared" ref="G72:G135" si="3">IF(AND($V$5=1),"PS-1",IF(AND($V$5=2),"PS-2",IF(AND($V$5=4),"PS-4",IF(AND($V$5=6),"S.O.",IF(AND($V$5=5),"")))))</f>
        <v/>
      </c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1"/>
      <c r="W72" s="75"/>
      <c r="X72" s="75"/>
      <c r="Y72" s="75"/>
      <c r="Z72" s="96">
        <f>SUM(Tableau16[[#This Row],[A-1]:[G-5]])</f>
        <v>0</v>
      </c>
      <c r="AA72" s="96" t="str">
        <f>IF(AND(Z72&gt;0,Tableau16[[#This Row],[CDS]]=""),"Oui","Non")</f>
        <v>Non</v>
      </c>
      <c r="AB72" s="75"/>
      <c r="AC72" s="75"/>
      <c r="AD72" s="75"/>
      <c r="AE72" s="75"/>
      <c r="AF72" s="75"/>
      <c r="AG72" s="75"/>
      <c r="AH72" s="75"/>
      <c r="AI72" s="75"/>
      <c r="AJ72" s="81"/>
      <c r="AK72" s="75"/>
      <c r="AL72" s="75"/>
    </row>
    <row r="73" spans="1:38" ht="15.75" hidden="1" thickBot="1" x14ac:dyDescent="0.3">
      <c r="A73" s="75"/>
      <c r="B73" s="75"/>
      <c r="C73" s="35">
        <f>INDEX(Données!$F$2:$L$54,MATCH(F73,Données!$F$2:$F$54,0),2)</f>
        <v>43899</v>
      </c>
      <c r="D73" s="29" t="str">
        <f t="shared" si="2"/>
        <v>#5</v>
      </c>
      <c r="E73" s="7">
        <f>Données!L12</f>
        <v>43904</v>
      </c>
      <c r="F73" s="6" t="str">
        <f>INDEX(Données!$F$2:$L$54,MATCH('#5'!E73,Données!$G$2:$G$54,1),1)</f>
        <v>11</v>
      </c>
      <c r="G73" s="18" t="str">
        <f t="shared" si="3"/>
        <v/>
      </c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1"/>
      <c r="W73" s="75"/>
      <c r="X73" s="75"/>
      <c r="Y73" s="75"/>
      <c r="Z73" s="96">
        <f>SUM(Tableau16[[#This Row],[A-1]:[G-5]])</f>
        <v>0</v>
      </c>
      <c r="AA73" s="96" t="str">
        <f>IF(AND(Z73&gt;0,Tableau16[[#This Row],[CDS]]=""),"Oui","Non")</f>
        <v>Non</v>
      </c>
      <c r="AB73" s="75"/>
      <c r="AC73" s="75"/>
      <c r="AD73" s="75"/>
      <c r="AE73" s="75"/>
      <c r="AF73" s="75"/>
      <c r="AG73" s="75"/>
      <c r="AH73" s="75"/>
      <c r="AI73" s="75"/>
      <c r="AJ73" s="81"/>
      <c r="AK73" s="75"/>
      <c r="AL73" s="75"/>
    </row>
    <row r="74" spans="1:38" ht="15.75" hidden="1" thickBot="1" x14ac:dyDescent="0.3">
      <c r="A74" s="75"/>
      <c r="B74" s="75"/>
      <c r="C74" s="35">
        <f>INDEX(Données!$F$2:$L$54,MATCH(F74,Données!$F$2:$F$54,0),2)</f>
        <v>43906</v>
      </c>
      <c r="D74" s="29" t="str">
        <f t="shared" si="2"/>
        <v>#5</v>
      </c>
      <c r="E74" s="7">
        <f>Données!G13</f>
        <v>43906</v>
      </c>
      <c r="F74" s="6" t="str">
        <f>INDEX(Données!$F$2:$L$54,MATCH('#5'!E74,Données!$G$2:$G$54,1),1)</f>
        <v>12</v>
      </c>
      <c r="G74" s="18" t="str">
        <f t="shared" si="3"/>
        <v/>
      </c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1"/>
      <c r="W74" s="75"/>
      <c r="X74" s="75"/>
      <c r="Y74" s="75"/>
      <c r="Z74" s="96">
        <f>SUM(Tableau16[[#This Row],[A-1]:[G-5]])</f>
        <v>0</v>
      </c>
      <c r="AA74" s="96" t="str">
        <f>IF(AND(Z74&gt;0,Tableau16[[#This Row],[CDS]]=""),"Oui","Non")</f>
        <v>Non</v>
      </c>
      <c r="AB74" s="75"/>
      <c r="AC74" s="75"/>
      <c r="AD74" s="75"/>
      <c r="AE74" s="75"/>
      <c r="AF74" s="75"/>
      <c r="AG74" s="75"/>
      <c r="AH74" s="75"/>
      <c r="AI74" s="75"/>
      <c r="AJ74" s="81"/>
      <c r="AK74" s="75"/>
      <c r="AL74" s="75"/>
    </row>
    <row r="75" spans="1:38" ht="15.75" hidden="1" thickBot="1" x14ac:dyDescent="0.3">
      <c r="A75" s="75"/>
      <c r="B75" s="75"/>
      <c r="C75" s="35">
        <f>INDEX(Données!$F$2:$L$54,MATCH(F75,Données!$F$2:$F$54,0),2)</f>
        <v>43906</v>
      </c>
      <c r="D75" s="29" t="str">
        <f t="shared" si="2"/>
        <v>#5</v>
      </c>
      <c r="E75" s="7">
        <f>Données!H13</f>
        <v>43907</v>
      </c>
      <c r="F75" s="6" t="str">
        <f>INDEX(Données!$F$2:$L$54,MATCH('#5'!E75,Données!$G$2:$G$54,1),1)</f>
        <v>12</v>
      </c>
      <c r="G75" s="18" t="str">
        <f t="shared" si="3"/>
        <v/>
      </c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1"/>
      <c r="W75" s="75"/>
      <c r="X75" s="75"/>
      <c r="Y75" s="75"/>
      <c r="Z75" s="96">
        <f>SUM(Tableau16[[#This Row],[A-1]:[G-5]])</f>
        <v>0</v>
      </c>
      <c r="AA75" s="96" t="str">
        <f>IF(AND(Z75&gt;0,Tableau16[[#This Row],[CDS]]=""),"Oui","Non")</f>
        <v>Non</v>
      </c>
      <c r="AB75" s="75"/>
      <c r="AC75" s="75"/>
      <c r="AD75" s="75"/>
      <c r="AE75" s="75"/>
      <c r="AF75" s="75"/>
      <c r="AG75" s="75"/>
      <c r="AH75" s="75"/>
      <c r="AI75" s="75"/>
      <c r="AJ75" s="81"/>
      <c r="AK75" s="75"/>
      <c r="AL75" s="75"/>
    </row>
    <row r="76" spans="1:38" ht="15.75" hidden="1" thickBot="1" x14ac:dyDescent="0.3">
      <c r="A76" s="75"/>
      <c r="B76" s="75"/>
      <c r="C76" s="35">
        <f>INDEX(Données!$F$2:$L$54,MATCH(F76,Données!$F$2:$F$54,0),2)</f>
        <v>43906</v>
      </c>
      <c r="D76" s="29" t="str">
        <f t="shared" si="2"/>
        <v>#5</v>
      </c>
      <c r="E76" s="7">
        <f>Données!I13</f>
        <v>43908</v>
      </c>
      <c r="F76" s="6" t="str">
        <f>INDEX(Données!$F$2:$L$54,MATCH('#5'!E76,Données!$G$2:$G$54,1),1)</f>
        <v>12</v>
      </c>
      <c r="G76" s="18" t="str">
        <f t="shared" si="3"/>
        <v/>
      </c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1"/>
      <c r="W76" s="75"/>
      <c r="X76" s="75"/>
      <c r="Y76" s="75"/>
      <c r="Z76" s="96">
        <f>SUM(Tableau16[[#This Row],[A-1]:[G-5]])</f>
        <v>0</v>
      </c>
      <c r="AA76" s="96" t="str">
        <f>IF(AND(Z76&gt;0,Tableau16[[#This Row],[CDS]]=""),"Oui","Non")</f>
        <v>Non</v>
      </c>
      <c r="AB76" s="75"/>
      <c r="AC76" s="75"/>
      <c r="AD76" s="75"/>
      <c r="AE76" s="75"/>
      <c r="AF76" s="75"/>
      <c r="AG76" s="75"/>
      <c r="AH76" s="75"/>
      <c r="AI76" s="75"/>
      <c r="AJ76" s="81"/>
      <c r="AK76" s="75"/>
      <c r="AL76" s="75"/>
    </row>
    <row r="77" spans="1:38" ht="15.75" hidden="1" thickBot="1" x14ac:dyDescent="0.3">
      <c r="A77" s="75"/>
      <c r="B77" s="75"/>
      <c r="C77" s="35">
        <f>INDEX(Données!$F$2:$L$54,MATCH(F77,Données!$F$2:$F$54,0),2)</f>
        <v>43906</v>
      </c>
      <c r="D77" s="29" t="str">
        <f t="shared" si="2"/>
        <v>#5</v>
      </c>
      <c r="E77" s="7">
        <f>Données!J13</f>
        <v>43909</v>
      </c>
      <c r="F77" s="6" t="str">
        <f>INDEX(Données!$F$2:$L$54,MATCH('#5'!E77,Données!$G$2:$G$54,1),1)</f>
        <v>12</v>
      </c>
      <c r="G77" s="18" t="str">
        <f t="shared" si="3"/>
        <v/>
      </c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1"/>
      <c r="W77" s="75"/>
      <c r="X77" s="75"/>
      <c r="Y77" s="75"/>
      <c r="Z77" s="96">
        <f>SUM(Tableau16[[#This Row],[A-1]:[G-5]])</f>
        <v>0</v>
      </c>
      <c r="AA77" s="96" t="str">
        <f>IF(AND(Z77&gt;0,Tableau16[[#This Row],[CDS]]=""),"Oui","Non")</f>
        <v>Non</v>
      </c>
      <c r="AB77" s="75"/>
      <c r="AC77" s="75"/>
      <c r="AD77" s="75"/>
      <c r="AE77" s="75"/>
      <c r="AF77" s="75"/>
      <c r="AG77" s="75"/>
      <c r="AH77" s="75"/>
      <c r="AI77" s="75"/>
      <c r="AJ77" s="81"/>
      <c r="AK77" s="75"/>
      <c r="AL77" s="75"/>
    </row>
    <row r="78" spans="1:38" ht="15.75" hidden="1" thickBot="1" x14ac:dyDescent="0.3">
      <c r="A78" s="75"/>
      <c r="B78" s="75"/>
      <c r="C78" s="35">
        <f>INDEX(Données!$F$2:$L$54,MATCH(F78,Données!$F$2:$F$54,0),2)</f>
        <v>43906</v>
      </c>
      <c r="D78" s="29" t="str">
        <f t="shared" si="2"/>
        <v>#5</v>
      </c>
      <c r="E78" s="7">
        <f>Données!K13</f>
        <v>43910</v>
      </c>
      <c r="F78" s="6" t="str">
        <f>INDEX(Données!$F$2:$L$54,MATCH('#5'!E78,Données!$G$2:$G$54,1),1)</f>
        <v>12</v>
      </c>
      <c r="G78" s="18" t="str">
        <f t="shared" si="3"/>
        <v/>
      </c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1"/>
      <c r="W78" s="75"/>
      <c r="X78" s="75"/>
      <c r="Y78" s="75"/>
      <c r="Z78" s="96">
        <f>SUM(Tableau16[[#This Row],[A-1]:[G-5]])</f>
        <v>0</v>
      </c>
      <c r="AA78" s="96" t="str">
        <f>IF(AND(Z78&gt;0,Tableau16[[#This Row],[CDS]]=""),"Oui","Non")</f>
        <v>Non</v>
      </c>
      <c r="AB78" s="75"/>
      <c r="AC78" s="75"/>
      <c r="AD78" s="75"/>
      <c r="AE78" s="75"/>
      <c r="AF78" s="75"/>
      <c r="AG78" s="75"/>
      <c r="AH78" s="75"/>
      <c r="AI78" s="75"/>
      <c r="AJ78" s="81"/>
      <c r="AK78" s="75"/>
      <c r="AL78" s="75"/>
    </row>
    <row r="79" spans="1:38" ht="15.75" hidden="1" thickBot="1" x14ac:dyDescent="0.3">
      <c r="A79" s="75"/>
      <c r="B79" s="75"/>
      <c r="C79" s="35">
        <f>INDEX(Données!$F$2:$L$54,MATCH(F79,Données!$F$2:$F$54,0),2)</f>
        <v>43906</v>
      </c>
      <c r="D79" s="29" t="str">
        <f t="shared" si="2"/>
        <v>#5</v>
      </c>
      <c r="E79" s="7">
        <f>Données!L13</f>
        <v>43911</v>
      </c>
      <c r="F79" s="6" t="str">
        <f>INDEX(Données!$F$2:$L$54,MATCH('#5'!E79,Données!$G$2:$G$54,1),1)</f>
        <v>12</v>
      </c>
      <c r="G79" s="18" t="str">
        <f t="shared" si="3"/>
        <v/>
      </c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1"/>
      <c r="W79" s="75"/>
      <c r="X79" s="75"/>
      <c r="Y79" s="75"/>
      <c r="Z79" s="96">
        <f>SUM(Tableau16[[#This Row],[A-1]:[G-5]])</f>
        <v>0</v>
      </c>
      <c r="AA79" s="96" t="str">
        <f>IF(AND(Z79&gt;0,Tableau16[[#This Row],[CDS]]=""),"Oui","Non")</f>
        <v>Non</v>
      </c>
      <c r="AB79" s="75"/>
      <c r="AC79" s="75"/>
      <c r="AD79" s="75"/>
      <c r="AE79" s="75"/>
      <c r="AF79" s="75"/>
      <c r="AG79" s="75"/>
      <c r="AH79" s="75"/>
      <c r="AI79" s="75"/>
      <c r="AJ79" s="81"/>
      <c r="AK79" s="75"/>
      <c r="AL79" s="75"/>
    </row>
    <row r="80" spans="1:38" ht="15.75" hidden="1" thickBot="1" x14ac:dyDescent="0.3">
      <c r="A80" s="75"/>
      <c r="B80" s="75"/>
      <c r="C80" s="35">
        <f>INDEX(Données!$F$2:$L$54,MATCH(F80,Données!$F$2:$F$54,0),2)</f>
        <v>43913</v>
      </c>
      <c r="D80" s="29" t="str">
        <f t="shared" si="2"/>
        <v>#5</v>
      </c>
      <c r="E80" s="7">
        <f>Données!G14</f>
        <v>43913</v>
      </c>
      <c r="F80" s="6" t="str">
        <f>INDEX(Données!$F$2:$L$54,MATCH('#5'!E80,Données!$G$2:$G$54,1),1)</f>
        <v>13</v>
      </c>
      <c r="G80" s="18" t="str">
        <f t="shared" si="3"/>
        <v/>
      </c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1"/>
      <c r="W80" s="75"/>
      <c r="X80" s="75"/>
      <c r="Y80" s="75"/>
      <c r="Z80" s="96">
        <f>SUM(Tableau16[[#This Row],[A-1]:[G-5]])</f>
        <v>0</v>
      </c>
      <c r="AA80" s="96" t="str">
        <f>IF(AND(Z80&gt;0,Tableau16[[#This Row],[CDS]]=""),"Oui","Non")</f>
        <v>Non</v>
      </c>
      <c r="AB80" s="75"/>
      <c r="AC80" s="75"/>
      <c r="AD80" s="75"/>
      <c r="AE80" s="75"/>
      <c r="AF80" s="75"/>
      <c r="AG80" s="75"/>
      <c r="AH80" s="75"/>
      <c r="AI80" s="75"/>
      <c r="AJ80" s="81"/>
      <c r="AK80" s="75"/>
      <c r="AL80" s="75"/>
    </row>
    <row r="81" spans="1:38" ht="15.75" hidden="1" thickBot="1" x14ac:dyDescent="0.3">
      <c r="A81" s="75"/>
      <c r="B81" s="75"/>
      <c r="C81" s="35">
        <f>INDEX(Données!$F$2:$L$54,MATCH(F81,Données!$F$2:$F$54,0),2)</f>
        <v>43913</v>
      </c>
      <c r="D81" s="29" t="str">
        <f t="shared" si="2"/>
        <v>#5</v>
      </c>
      <c r="E81" s="7">
        <f>Données!H14</f>
        <v>43914</v>
      </c>
      <c r="F81" s="6" t="str">
        <f>INDEX(Données!$F$2:$L$54,MATCH('#5'!E81,Données!$G$2:$G$54,1),1)</f>
        <v>13</v>
      </c>
      <c r="G81" s="18" t="str">
        <f t="shared" si="3"/>
        <v/>
      </c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1"/>
      <c r="W81" s="75"/>
      <c r="X81" s="75"/>
      <c r="Y81" s="75"/>
      <c r="Z81" s="96">
        <f>SUM(Tableau16[[#This Row],[A-1]:[G-5]])</f>
        <v>0</v>
      </c>
      <c r="AA81" s="96" t="str">
        <f>IF(AND(Z81&gt;0,Tableau16[[#This Row],[CDS]]=""),"Oui","Non")</f>
        <v>Non</v>
      </c>
      <c r="AB81" s="75"/>
      <c r="AC81" s="75"/>
      <c r="AD81" s="75"/>
      <c r="AE81" s="75"/>
      <c r="AF81" s="75"/>
      <c r="AG81" s="75"/>
      <c r="AH81" s="75"/>
      <c r="AI81" s="75"/>
      <c r="AJ81" s="81"/>
      <c r="AK81" s="75"/>
      <c r="AL81" s="75"/>
    </row>
    <row r="82" spans="1:38" ht="15.75" hidden="1" thickBot="1" x14ac:dyDescent="0.3">
      <c r="A82" s="75"/>
      <c r="B82" s="75"/>
      <c r="C82" s="35">
        <f>INDEX(Données!$F$2:$L$54,MATCH(F82,Données!$F$2:$F$54,0),2)</f>
        <v>43913</v>
      </c>
      <c r="D82" s="29" t="str">
        <f t="shared" si="2"/>
        <v>#5</v>
      </c>
      <c r="E82" s="7">
        <f>Données!I14</f>
        <v>43915</v>
      </c>
      <c r="F82" s="6" t="str">
        <f>INDEX(Données!$F$2:$L$54,MATCH('#5'!E82,Données!$G$2:$G$54,1),1)</f>
        <v>13</v>
      </c>
      <c r="G82" s="18" t="str">
        <f t="shared" si="3"/>
        <v/>
      </c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1"/>
      <c r="W82" s="75"/>
      <c r="X82" s="75"/>
      <c r="Y82" s="75"/>
      <c r="Z82" s="96">
        <f>SUM(Tableau16[[#This Row],[A-1]:[G-5]])</f>
        <v>0</v>
      </c>
      <c r="AA82" s="96" t="str">
        <f>IF(AND(Z82&gt;0,Tableau16[[#This Row],[CDS]]=""),"Oui","Non")</f>
        <v>Non</v>
      </c>
      <c r="AB82" s="75"/>
      <c r="AC82" s="75"/>
      <c r="AD82" s="75"/>
      <c r="AE82" s="75"/>
      <c r="AF82" s="75"/>
      <c r="AG82" s="75"/>
      <c r="AH82" s="75"/>
      <c r="AI82" s="75"/>
      <c r="AJ82" s="81"/>
      <c r="AK82" s="75"/>
      <c r="AL82" s="75"/>
    </row>
    <row r="83" spans="1:38" ht="15.75" hidden="1" thickBot="1" x14ac:dyDescent="0.3">
      <c r="A83" s="75"/>
      <c r="B83" s="75"/>
      <c r="C83" s="35">
        <f>INDEX(Données!$F$2:$L$54,MATCH(F83,Données!$F$2:$F$54,0),2)</f>
        <v>43913</v>
      </c>
      <c r="D83" s="29" t="str">
        <f t="shared" si="2"/>
        <v>#5</v>
      </c>
      <c r="E83" s="7">
        <f>Données!J14</f>
        <v>43916</v>
      </c>
      <c r="F83" s="6" t="str">
        <f>INDEX(Données!$F$2:$L$54,MATCH('#5'!E83,Données!$G$2:$G$54,1),1)</f>
        <v>13</v>
      </c>
      <c r="G83" s="18" t="str">
        <f t="shared" si="3"/>
        <v/>
      </c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1"/>
      <c r="W83" s="75"/>
      <c r="X83" s="75"/>
      <c r="Y83" s="75"/>
      <c r="Z83" s="96">
        <f>SUM(Tableau16[[#This Row],[A-1]:[G-5]])</f>
        <v>0</v>
      </c>
      <c r="AA83" s="96" t="str">
        <f>IF(AND(Z83&gt;0,Tableau16[[#This Row],[CDS]]=""),"Oui","Non")</f>
        <v>Non</v>
      </c>
      <c r="AB83" s="75"/>
      <c r="AC83" s="75"/>
      <c r="AD83" s="75"/>
      <c r="AE83" s="75"/>
      <c r="AF83" s="75"/>
      <c r="AG83" s="75"/>
      <c r="AH83" s="75"/>
      <c r="AI83" s="75"/>
      <c r="AJ83" s="81"/>
      <c r="AK83" s="75"/>
      <c r="AL83" s="75"/>
    </row>
    <row r="84" spans="1:38" ht="15.75" hidden="1" thickBot="1" x14ac:dyDescent="0.3">
      <c r="A84" s="75"/>
      <c r="B84" s="75"/>
      <c r="C84" s="35">
        <f>INDEX(Données!$F$2:$L$54,MATCH(F84,Données!$F$2:$F$54,0),2)</f>
        <v>43913</v>
      </c>
      <c r="D84" s="29" t="str">
        <f t="shared" si="2"/>
        <v>#5</v>
      </c>
      <c r="E84" s="7">
        <f>Données!K14</f>
        <v>43917</v>
      </c>
      <c r="F84" s="6" t="str">
        <f>INDEX(Données!$F$2:$L$54,MATCH('#5'!E84,Données!$G$2:$G$54,1),1)</f>
        <v>13</v>
      </c>
      <c r="G84" s="18" t="str">
        <f t="shared" si="3"/>
        <v/>
      </c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1"/>
      <c r="W84" s="75"/>
      <c r="X84" s="75"/>
      <c r="Y84" s="75"/>
      <c r="Z84" s="96">
        <f>SUM(Tableau16[[#This Row],[A-1]:[G-5]])</f>
        <v>0</v>
      </c>
      <c r="AA84" s="96" t="str">
        <f>IF(AND(Z84&gt;0,Tableau16[[#This Row],[CDS]]=""),"Oui","Non")</f>
        <v>Non</v>
      </c>
      <c r="AB84" s="75"/>
      <c r="AC84" s="75"/>
      <c r="AD84" s="75"/>
      <c r="AE84" s="75"/>
      <c r="AF84" s="75"/>
      <c r="AG84" s="75"/>
      <c r="AH84" s="75"/>
      <c r="AI84" s="75"/>
      <c r="AJ84" s="81"/>
      <c r="AK84" s="75"/>
      <c r="AL84" s="75"/>
    </row>
    <row r="85" spans="1:38" ht="15.75" hidden="1" thickBot="1" x14ac:dyDescent="0.3">
      <c r="A85" s="75"/>
      <c r="B85" s="75"/>
      <c r="C85" s="35">
        <f>INDEX(Données!$F$2:$L$54,MATCH(F85,Données!$F$2:$F$54,0),2)</f>
        <v>43913</v>
      </c>
      <c r="D85" s="29" t="str">
        <f t="shared" si="2"/>
        <v>#5</v>
      </c>
      <c r="E85" s="7">
        <f>Données!L14</f>
        <v>43918</v>
      </c>
      <c r="F85" s="6" t="str">
        <f>INDEX(Données!$F$2:$L$54,MATCH('#5'!E85,Données!$G$2:$G$54,1),1)</f>
        <v>13</v>
      </c>
      <c r="G85" s="18" t="str">
        <f t="shared" si="3"/>
        <v/>
      </c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1"/>
      <c r="W85" s="75"/>
      <c r="X85" s="75"/>
      <c r="Y85" s="75"/>
      <c r="Z85" s="96">
        <f>SUM(Tableau16[[#This Row],[A-1]:[G-5]])</f>
        <v>0</v>
      </c>
      <c r="AA85" s="96" t="str">
        <f>IF(AND(Z85&gt;0,Tableau16[[#This Row],[CDS]]=""),"Oui","Non")</f>
        <v>Non</v>
      </c>
      <c r="AB85" s="75"/>
      <c r="AC85" s="75"/>
      <c r="AD85" s="75"/>
      <c r="AE85" s="75"/>
      <c r="AF85" s="75"/>
      <c r="AG85" s="75"/>
      <c r="AH85" s="75"/>
      <c r="AI85" s="75"/>
      <c r="AJ85" s="81"/>
      <c r="AK85" s="75"/>
      <c r="AL85" s="75"/>
    </row>
    <row r="86" spans="1:38" ht="15.75" hidden="1" thickBot="1" x14ac:dyDescent="0.3">
      <c r="A86" s="75"/>
      <c r="B86" s="75"/>
      <c r="C86" s="35">
        <f>INDEX(Données!$F$2:$L$54,MATCH(F86,Données!$F$2:$F$54,0),2)</f>
        <v>43920</v>
      </c>
      <c r="D86" s="29" t="str">
        <f t="shared" si="2"/>
        <v>#5</v>
      </c>
      <c r="E86" s="7">
        <f>Données!G15</f>
        <v>43920</v>
      </c>
      <c r="F86" s="6" t="str">
        <f>INDEX(Données!$F$2:$L$54,MATCH('#5'!E86,Données!$G$2:$G$54,1),1)</f>
        <v>14</v>
      </c>
      <c r="G86" s="18" t="str">
        <f t="shared" si="3"/>
        <v/>
      </c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1"/>
      <c r="W86" s="75"/>
      <c r="X86" s="75"/>
      <c r="Y86" s="75"/>
      <c r="Z86" s="96">
        <f>SUM(Tableau16[[#This Row],[A-1]:[G-5]])</f>
        <v>0</v>
      </c>
      <c r="AA86" s="96" t="str">
        <f>IF(AND(Z86&gt;0,Tableau16[[#This Row],[CDS]]=""),"Oui","Non")</f>
        <v>Non</v>
      </c>
      <c r="AB86" s="75"/>
      <c r="AC86" s="75"/>
      <c r="AD86" s="75"/>
      <c r="AE86" s="75"/>
      <c r="AF86" s="75"/>
      <c r="AG86" s="75"/>
      <c r="AH86" s="75"/>
      <c r="AI86" s="75"/>
      <c r="AJ86" s="81"/>
      <c r="AK86" s="75"/>
      <c r="AL86" s="75"/>
    </row>
    <row r="87" spans="1:38" ht="15.75" hidden="1" thickBot="1" x14ac:dyDescent="0.3">
      <c r="A87" s="75"/>
      <c r="B87" s="75"/>
      <c r="C87" s="35">
        <f>INDEX(Données!$F$2:$L$54,MATCH(F87,Données!$F$2:$F$54,0),2)</f>
        <v>43920</v>
      </c>
      <c r="D87" s="29" t="str">
        <f t="shared" si="2"/>
        <v>#5</v>
      </c>
      <c r="E87" s="7">
        <f>Données!H15</f>
        <v>43921</v>
      </c>
      <c r="F87" s="6" t="str">
        <f>INDEX(Données!$F$2:$L$54,MATCH('#5'!E87,Données!$G$2:$G$54,1),1)</f>
        <v>14</v>
      </c>
      <c r="G87" s="18" t="str">
        <f t="shared" si="3"/>
        <v/>
      </c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1"/>
      <c r="W87" s="75"/>
      <c r="X87" s="75"/>
      <c r="Y87" s="75"/>
      <c r="Z87" s="96">
        <f>SUM(Tableau16[[#This Row],[A-1]:[G-5]])</f>
        <v>0</v>
      </c>
      <c r="AA87" s="96" t="str">
        <f>IF(AND(Z87&gt;0,Tableau16[[#This Row],[CDS]]=""),"Oui","Non")</f>
        <v>Non</v>
      </c>
      <c r="AB87" s="75"/>
      <c r="AC87" s="75"/>
      <c r="AD87" s="75"/>
      <c r="AE87" s="75"/>
      <c r="AF87" s="75"/>
      <c r="AG87" s="75"/>
      <c r="AH87" s="75"/>
      <c r="AI87" s="75"/>
      <c r="AJ87" s="81"/>
      <c r="AK87" s="75"/>
      <c r="AL87" s="75"/>
    </row>
    <row r="88" spans="1:38" ht="15.75" hidden="1" thickBot="1" x14ac:dyDescent="0.3">
      <c r="A88" s="75"/>
      <c r="B88" s="75"/>
      <c r="C88" s="35">
        <f>INDEX(Données!$F$2:$L$54,MATCH(F88,Données!$F$2:$F$54,0),2)</f>
        <v>43920</v>
      </c>
      <c r="D88" s="29" t="str">
        <f t="shared" si="2"/>
        <v>#5</v>
      </c>
      <c r="E88" s="7">
        <f>Données!I15</f>
        <v>43922</v>
      </c>
      <c r="F88" s="6" t="str">
        <f>INDEX(Données!$F$2:$L$54,MATCH('#5'!E88,Données!$G$2:$G$54,1),1)</f>
        <v>14</v>
      </c>
      <c r="G88" s="18" t="str">
        <f t="shared" si="3"/>
        <v/>
      </c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1"/>
      <c r="W88" s="75"/>
      <c r="X88" s="75"/>
      <c r="Y88" s="75"/>
      <c r="Z88" s="96">
        <f>SUM(Tableau16[[#This Row],[A-1]:[G-5]])</f>
        <v>0</v>
      </c>
      <c r="AA88" s="96" t="str">
        <f>IF(AND(Z88&gt;0,Tableau16[[#This Row],[CDS]]=""),"Oui","Non")</f>
        <v>Non</v>
      </c>
      <c r="AB88" s="75"/>
      <c r="AC88" s="75"/>
      <c r="AD88" s="75"/>
      <c r="AE88" s="75"/>
      <c r="AF88" s="75"/>
      <c r="AG88" s="75"/>
      <c r="AH88" s="75"/>
      <c r="AI88" s="75"/>
      <c r="AJ88" s="81"/>
      <c r="AK88" s="75"/>
      <c r="AL88" s="75"/>
    </row>
    <row r="89" spans="1:38" ht="15.75" hidden="1" thickBot="1" x14ac:dyDescent="0.3">
      <c r="A89" s="75"/>
      <c r="B89" s="75"/>
      <c r="C89" s="35">
        <f>INDEX(Données!$F$2:$L$54,MATCH(F89,Données!$F$2:$F$54,0),2)</f>
        <v>43920</v>
      </c>
      <c r="D89" s="29" t="str">
        <f t="shared" si="2"/>
        <v>#5</v>
      </c>
      <c r="E89" s="7">
        <f>Données!J15</f>
        <v>43923</v>
      </c>
      <c r="F89" s="6" t="str">
        <f>INDEX(Données!$F$2:$L$54,MATCH('#5'!E89,Données!$G$2:$G$54,1),1)</f>
        <v>14</v>
      </c>
      <c r="G89" s="18" t="str">
        <f t="shared" si="3"/>
        <v/>
      </c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1"/>
      <c r="W89" s="75"/>
      <c r="X89" s="75"/>
      <c r="Y89" s="75"/>
      <c r="Z89" s="96">
        <f>SUM(Tableau16[[#This Row],[A-1]:[G-5]])</f>
        <v>0</v>
      </c>
      <c r="AA89" s="96" t="str">
        <f>IF(AND(Z89&gt;0,Tableau16[[#This Row],[CDS]]=""),"Oui","Non")</f>
        <v>Non</v>
      </c>
      <c r="AB89" s="75"/>
      <c r="AC89" s="75"/>
      <c r="AD89" s="75"/>
      <c r="AE89" s="75"/>
      <c r="AF89" s="75"/>
      <c r="AG89" s="75"/>
      <c r="AH89" s="75"/>
      <c r="AI89" s="75"/>
      <c r="AJ89" s="81"/>
      <c r="AK89" s="75"/>
      <c r="AL89" s="75"/>
    </row>
    <row r="90" spans="1:38" ht="15.75" hidden="1" thickBot="1" x14ac:dyDescent="0.3">
      <c r="A90" s="75"/>
      <c r="B90" s="75"/>
      <c r="C90" s="35">
        <f>INDEX(Données!$F$2:$L$54,MATCH(F90,Données!$F$2:$F$54,0),2)</f>
        <v>43920</v>
      </c>
      <c r="D90" s="29" t="str">
        <f t="shared" si="2"/>
        <v>#5</v>
      </c>
      <c r="E90" s="7">
        <f>Données!K15</f>
        <v>43924</v>
      </c>
      <c r="F90" s="6" t="str">
        <f>INDEX(Données!$F$2:$L$54,MATCH('#5'!E90,Données!$G$2:$G$54,1),1)</f>
        <v>14</v>
      </c>
      <c r="G90" s="18" t="str">
        <f t="shared" si="3"/>
        <v/>
      </c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1"/>
      <c r="W90" s="75"/>
      <c r="X90" s="75"/>
      <c r="Y90" s="75"/>
      <c r="Z90" s="96">
        <f>SUM(Tableau16[[#This Row],[A-1]:[G-5]])</f>
        <v>0</v>
      </c>
      <c r="AA90" s="96" t="str">
        <f>IF(AND(Z90&gt;0,Tableau16[[#This Row],[CDS]]=""),"Oui","Non")</f>
        <v>Non</v>
      </c>
      <c r="AB90" s="75"/>
      <c r="AC90" s="75"/>
      <c r="AD90" s="75"/>
      <c r="AE90" s="75"/>
      <c r="AF90" s="75"/>
      <c r="AG90" s="75"/>
      <c r="AH90" s="75"/>
      <c r="AI90" s="75"/>
      <c r="AJ90" s="81"/>
      <c r="AK90" s="75"/>
      <c r="AL90" s="75"/>
    </row>
    <row r="91" spans="1:38" ht="15.75" hidden="1" thickBot="1" x14ac:dyDescent="0.3">
      <c r="A91" s="75"/>
      <c r="B91" s="75"/>
      <c r="C91" s="35">
        <f>INDEX(Données!$F$2:$L$54,MATCH(F91,Données!$F$2:$F$54,0),2)</f>
        <v>43920</v>
      </c>
      <c r="D91" s="29" t="str">
        <f t="shared" si="2"/>
        <v>#5</v>
      </c>
      <c r="E91" s="7">
        <f>Données!L15</f>
        <v>43925</v>
      </c>
      <c r="F91" s="6" t="str">
        <f>INDEX(Données!$F$2:$L$54,MATCH('#5'!E91,Données!$G$2:$G$54,1),1)</f>
        <v>14</v>
      </c>
      <c r="G91" s="18" t="str">
        <f t="shared" si="3"/>
        <v/>
      </c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1"/>
      <c r="W91" s="75"/>
      <c r="X91" s="75"/>
      <c r="Y91" s="75"/>
      <c r="Z91" s="96">
        <f>SUM(Tableau16[[#This Row],[A-1]:[G-5]])</f>
        <v>0</v>
      </c>
      <c r="AA91" s="96" t="str">
        <f>IF(AND(Z91&gt;0,Tableau16[[#This Row],[CDS]]=""),"Oui","Non")</f>
        <v>Non</v>
      </c>
      <c r="AB91" s="75"/>
      <c r="AC91" s="75"/>
      <c r="AD91" s="75"/>
      <c r="AE91" s="75"/>
      <c r="AF91" s="75"/>
      <c r="AG91" s="75"/>
      <c r="AH91" s="75"/>
      <c r="AI91" s="75"/>
      <c r="AJ91" s="81"/>
      <c r="AK91" s="75"/>
      <c r="AL91" s="75"/>
    </row>
    <row r="92" spans="1:38" ht="15.75" hidden="1" thickBot="1" x14ac:dyDescent="0.3">
      <c r="A92" s="75"/>
      <c r="B92" s="75"/>
      <c r="C92" s="35">
        <f>INDEX(Données!$F$2:$L$54,MATCH(F92,Données!$F$2:$F$54,0),2)</f>
        <v>43927</v>
      </c>
      <c r="D92" s="29" t="str">
        <f t="shared" si="2"/>
        <v>#5</v>
      </c>
      <c r="E92" s="7">
        <f>Données!G16</f>
        <v>43927</v>
      </c>
      <c r="F92" s="6" t="str">
        <f>INDEX(Données!$F$2:$L$54,MATCH('#5'!E92,Données!$G$2:$G$54,1),1)</f>
        <v>15</v>
      </c>
      <c r="G92" s="18" t="str">
        <f t="shared" si="3"/>
        <v/>
      </c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1"/>
      <c r="W92" s="75"/>
      <c r="X92" s="75"/>
      <c r="Y92" s="75"/>
      <c r="Z92" s="96">
        <f>SUM(Tableau16[[#This Row],[A-1]:[G-5]])</f>
        <v>0</v>
      </c>
      <c r="AA92" s="96" t="str">
        <f>IF(AND(Z92&gt;0,Tableau16[[#This Row],[CDS]]=""),"Oui","Non")</f>
        <v>Non</v>
      </c>
      <c r="AB92" s="75"/>
      <c r="AC92" s="75"/>
      <c r="AD92" s="75"/>
      <c r="AE92" s="75"/>
      <c r="AF92" s="75"/>
      <c r="AG92" s="75"/>
      <c r="AH92" s="75"/>
      <c r="AI92" s="75"/>
      <c r="AJ92" s="81"/>
      <c r="AK92" s="75"/>
      <c r="AL92" s="75"/>
    </row>
    <row r="93" spans="1:38" ht="15.75" hidden="1" thickBot="1" x14ac:dyDescent="0.3">
      <c r="A93" s="75"/>
      <c r="B93" s="75"/>
      <c r="C93" s="35">
        <f>INDEX(Données!$F$2:$L$54,MATCH(F93,Données!$F$2:$F$54,0),2)</f>
        <v>43927</v>
      </c>
      <c r="D93" s="29" t="str">
        <f t="shared" si="2"/>
        <v>#5</v>
      </c>
      <c r="E93" s="7">
        <f>Données!H16</f>
        <v>43928</v>
      </c>
      <c r="F93" s="6" t="str">
        <f>INDEX(Données!$F$2:$L$54,MATCH('#5'!E93,Données!$G$2:$G$54,1),1)</f>
        <v>15</v>
      </c>
      <c r="G93" s="18" t="str">
        <f t="shared" si="3"/>
        <v/>
      </c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1"/>
      <c r="W93" s="75"/>
      <c r="X93" s="75"/>
      <c r="Y93" s="75"/>
      <c r="Z93" s="96">
        <f>SUM(Tableau16[[#This Row],[A-1]:[G-5]])</f>
        <v>0</v>
      </c>
      <c r="AA93" s="96" t="str">
        <f>IF(AND(Z93&gt;0,Tableau16[[#This Row],[CDS]]=""),"Oui","Non")</f>
        <v>Non</v>
      </c>
      <c r="AB93" s="75"/>
      <c r="AC93" s="75"/>
      <c r="AD93" s="75"/>
      <c r="AE93" s="75"/>
      <c r="AF93" s="75"/>
      <c r="AG93" s="75"/>
      <c r="AH93" s="75"/>
      <c r="AI93" s="75"/>
      <c r="AJ93" s="81"/>
      <c r="AK93" s="75"/>
      <c r="AL93" s="75"/>
    </row>
    <row r="94" spans="1:38" ht="15.75" hidden="1" thickBot="1" x14ac:dyDescent="0.3">
      <c r="A94" s="75"/>
      <c r="B94" s="75"/>
      <c r="C94" s="35">
        <f>INDEX(Données!$F$2:$L$54,MATCH(F94,Données!$F$2:$F$54,0),2)</f>
        <v>43927</v>
      </c>
      <c r="D94" s="29" t="str">
        <f t="shared" si="2"/>
        <v>#5</v>
      </c>
      <c r="E94" s="7">
        <f>Données!I16</f>
        <v>43929</v>
      </c>
      <c r="F94" s="6" t="str">
        <f>INDEX(Données!$F$2:$L$54,MATCH('#5'!E94,Données!$G$2:$G$54,1),1)</f>
        <v>15</v>
      </c>
      <c r="G94" s="18" t="str">
        <f t="shared" si="3"/>
        <v/>
      </c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1"/>
      <c r="W94" s="75"/>
      <c r="X94" s="75"/>
      <c r="Y94" s="75"/>
      <c r="Z94" s="96">
        <f>SUM(Tableau16[[#This Row],[A-1]:[G-5]])</f>
        <v>0</v>
      </c>
      <c r="AA94" s="96" t="str">
        <f>IF(AND(Z94&gt;0,Tableau16[[#This Row],[CDS]]=""),"Oui","Non")</f>
        <v>Non</v>
      </c>
      <c r="AB94" s="75"/>
      <c r="AC94" s="75"/>
      <c r="AD94" s="75"/>
      <c r="AE94" s="75"/>
      <c r="AF94" s="75"/>
      <c r="AG94" s="75"/>
      <c r="AH94" s="75"/>
      <c r="AI94" s="75"/>
      <c r="AJ94" s="81"/>
      <c r="AK94" s="75"/>
      <c r="AL94" s="75"/>
    </row>
    <row r="95" spans="1:38" ht="15.75" hidden="1" thickBot="1" x14ac:dyDescent="0.3">
      <c r="A95" s="75"/>
      <c r="B95" s="75"/>
      <c r="C95" s="35">
        <f>INDEX(Données!$F$2:$L$54,MATCH(F95,Données!$F$2:$F$54,0),2)</f>
        <v>43927</v>
      </c>
      <c r="D95" s="29" t="str">
        <f t="shared" si="2"/>
        <v>#5</v>
      </c>
      <c r="E95" s="7">
        <f>Données!J16</f>
        <v>43930</v>
      </c>
      <c r="F95" s="6" t="str">
        <f>INDEX(Données!$F$2:$L$54,MATCH('#5'!E95,Données!$G$2:$G$54,1),1)</f>
        <v>15</v>
      </c>
      <c r="G95" s="18" t="str">
        <f t="shared" si="3"/>
        <v/>
      </c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1"/>
      <c r="W95" s="75"/>
      <c r="X95" s="75"/>
      <c r="Y95" s="75"/>
      <c r="Z95" s="96">
        <f>SUM(Tableau16[[#This Row],[A-1]:[G-5]])</f>
        <v>0</v>
      </c>
      <c r="AA95" s="96" t="str">
        <f>IF(AND(Z95&gt;0,Tableau16[[#This Row],[CDS]]=""),"Oui","Non")</f>
        <v>Non</v>
      </c>
      <c r="AB95" s="75"/>
      <c r="AC95" s="75"/>
      <c r="AD95" s="75"/>
      <c r="AE95" s="75"/>
      <c r="AF95" s="75"/>
      <c r="AG95" s="75"/>
      <c r="AH95" s="75"/>
      <c r="AI95" s="75"/>
      <c r="AJ95" s="81"/>
      <c r="AK95" s="75"/>
      <c r="AL95" s="75"/>
    </row>
    <row r="96" spans="1:38" ht="15.75" hidden="1" thickBot="1" x14ac:dyDescent="0.3">
      <c r="A96" s="75"/>
      <c r="B96" s="75"/>
      <c r="C96" s="35">
        <f>INDEX(Données!$F$2:$L$54,MATCH(F96,Données!$F$2:$F$54,0),2)</f>
        <v>43927</v>
      </c>
      <c r="D96" s="29" t="str">
        <f t="shared" si="2"/>
        <v>#5</v>
      </c>
      <c r="E96" s="7">
        <f>Données!K16</f>
        <v>43931</v>
      </c>
      <c r="F96" s="6" t="str">
        <f>INDEX(Données!$F$2:$L$54,MATCH('#5'!E96,Données!$G$2:$G$54,1),1)</f>
        <v>15</v>
      </c>
      <c r="G96" s="18" t="str">
        <f t="shared" si="3"/>
        <v/>
      </c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1"/>
      <c r="W96" s="75"/>
      <c r="X96" s="75"/>
      <c r="Y96" s="75"/>
      <c r="Z96" s="96">
        <f>SUM(Tableau16[[#This Row],[A-1]:[G-5]])</f>
        <v>0</v>
      </c>
      <c r="AA96" s="96" t="str">
        <f>IF(AND(Z96&gt;0,Tableau16[[#This Row],[CDS]]=""),"Oui","Non")</f>
        <v>Non</v>
      </c>
      <c r="AB96" s="75"/>
      <c r="AC96" s="75"/>
      <c r="AD96" s="75"/>
      <c r="AE96" s="75"/>
      <c r="AF96" s="75"/>
      <c r="AG96" s="75"/>
      <c r="AH96" s="75"/>
      <c r="AI96" s="75"/>
      <c r="AJ96" s="81"/>
      <c r="AK96" s="75"/>
      <c r="AL96" s="75"/>
    </row>
    <row r="97" spans="1:38" ht="15.75" hidden="1" thickBot="1" x14ac:dyDescent="0.3">
      <c r="A97" s="75"/>
      <c r="B97" s="75"/>
      <c r="C97" s="35">
        <f>INDEX(Données!$F$2:$L$54,MATCH(F97,Données!$F$2:$F$54,0),2)</f>
        <v>43927</v>
      </c>
      <c r="D97" s="29" t="str">
        <f t="shared" si="2"/>
        <v>#5</v>
      </c>
      <c r="E97" s="7">
        <f>Données!L16</f>
        <v>43932</v>
      </c>
      <c r="F97" s="6" t="str">
        <f>INDEX(Données!$F$2:$L$54,MATCH('#5'!E97,Données!$G$2:$G$54,1),1)</f>
        <v>15</v>
      </c>
      <c r="G97" s="18" t="str">
        <f t="shared" si="3"/>
        <v/>
      </c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1"/>
      <c r="W97" s="75"/>
      <c r="X97" s="75"/>
      <c r="Y97" s="75"/>
      <c r="Z97" s="96">
        <f>SUM(Tableau16[[#This Row],[A-1]:[G-5]])</f>
        <v>0</v>
      </c>
      <c r="AA97" s="96" t="str">
        <f>IF(AND(Z97&gt;0,Tableau16[[#This Row],[CDS]]=""),"Oui","Non")</f>
        <v>Non</v>
      </c>
      <c r="AB97" s="75"/>
      <c r="AC97" s="75"/>
      <c r="AD97" s="75"/>
      <c r="AE97" s="75"/>
      <c r="AF97" s="75"/>
      <c r="AG97" s="75"/>
      <c r="AH97" s="75"/>
      <c r="AI97" s="75"/>
      <c r="AJ97" s="81"/>
      <c r="AK97" s="75"/>
      <c r="AL97" s="75"/>
    </row>
    <row r="98" spans="1:38" ht="15.75" hidden="1" thickBot="1" x14ac:dyDescent="0.3">
      <c r="A98" s="75"/>
      <c r="B98" s="75"/>
      <c r="C98" s="35">
        <f>INDEX(Données!$F$2:$L$54,MATCH(F98,Données!$F$2:$F$54,0),2)</f>
        <v>43934</v>
      </c>
      <c r="D98" s="29" t="str">
        <f t="shared" si="2"/>
        <v>#5</v>
      </c>
      <c r="E98" s="7">
        <f>Données!G17</f>
        <v>43934</v>
      </c>
      <c r="F98" s="6" t="str">
        <f>INDEX(Données!$F$2:$L$54,MATCH('#5'!E98,Données!$G$2:$G$54,1),1)</f>
        <v>16</v>
      </c>
      <c r="G98" s="18" t="str">
        <f t="shared" si="3"/>
        <v/>
      </c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1"/>
      <c r="W98" s="75"/>
      <c r="X98" s="75"/>
      <c r="Y98" s="75"/>
      <c r="Z98" s="96">
        <f>SUM(Tableau16[[#This Row],[A-1]:[G-5]])</f>
        <v>0</v>
      </c>
      <c r="AA98" s="96" t="str">
        <f>IF(AND(Z98&gt;0,Tableau16[[#This Row],[CDS]]=""),"Oui","Non")</f>
        <v>Non</v>
      </c>
      <c r="AB98" s="75"/>
      <c r="AC98" s="75"/>
      <c r="AD98" s="75"/>
      <c r="AE98" s="75"/>
      <c r="AF98" s="75"/>
      <c r="AG98" s="75"/>
      <c r="AH98" s="75"/>
      <c r="AI98" s="75"/>
      <c r="AJ98" s="81"/>
      <c r="AK98" s="75"/>
      <c r="AL98" s="75"/>
    </row>
    <row r="99" spans="1:38" ht="15.75" hidden="1" thickBot="1" x14ac:dyDescent="0.3">
      <c r="A99" s="75"/>
      <c r="B99" s="75"/>
      <c r="C99" s="35">
        <f>INDEX(Données!$F$2:$L$54,MATCH(F99,Données!$F$2:$F$54,0),2)</f>
        <v>43934</v>
      </c>
      <c r="D99" s="29" t="str">
        <f t="shared" si="2"/>
        <v>#5</v>
      </c>
      <c r="E99" s="7">
        <f>Données!H17</f>
        <v>43935</v>
      </c>
      <c r="F99" s="6" t="str">
        <f>INDEX(Données!$F$2:$L$54,MATCH('#5'!E99,Données!$G$2:$G$54,1),1)</f>
        <v>16</v>
      </c>
      <c r="G99" s="18" t="str">
        <f t="shared" si="3"/>
        <v/>
      </c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1"/>
      <c r="W99" s="75"/>
      <c r="X99" s="75"/>
      <c r="Y99" s="75"/>
      <c r="Z99" s="96">
        <f>SUM(Tableau16[[#This Row],[A-1]:[G-5]])</f>
        <v>0</v>
      </c>
      <c r="AA99" s="96" t="str">
        <f>IF(AND(Z99&gt;0,Tableau16[[#This Row],[CDS]]=""),"Oui","Non")</f>
        <v>Non</v>
      </c>
      <c r="AB99" s="75"/>
      <c r="AC99" s="75"/>
      <c r="AD99" s="75"/>
      <c r="AE99" s="75"/>
      <c r="AF99" s="75"/>
      <c r="AG99" s="75"/>
      <c r="AH99" s="75"/>
      <c r="AI99" s="75"/>
      <c r="AJ99" s="81"/>
      <c r="AK99" s="75"/>
      <c r="AL99" s="75"/>
    </row>
    <row r="100" spans="1:38" ht="15.75" hidden="1" thickBot="1" x14ac:dyDescent="0.3">
      <c r="A100" s="75"/>
      <c r="B100" s="75"/>
      <c r="C100" s="35">
        <f>INDEX(Données!$F$2:$L$54,MATCH(F100,Données!$F$2:$F$54,0),2)</f>
        <v>43934</v>
      </c>
      <c r="D100" s="29" t="str">
        <f t="shared" si="2"/>
        <v>#5</v>
      </c>
      <c r="E100" s="7">
        <f>Données!I17</f>
        <v>43936</v>
      </c>
      <c r="F100" s="6" t="str">
        <f>INDEX(Données!$F$2:$L$54,MATCH('#5'!E100,Données!$G$2:$G$54,1),1)</f>
        <v>16</v>
      </c>
      <c r="G100" s="18" t="str">
        <f t="shared" si="3"/>
        <v/>
      </c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1"/>
      <c r="W100" s="75"/>
      <c r="X100" s="75"/>
      <c r="Y100" s="75"/>
      <c r="Z100" s="96">
        <f>SUM(Tableau16[[#This Row],[A-1]:[G-5]])</f>
        <v>0</v>
      </c>
      <c r="AA100" s="96" t="str">
        <f>IF(AND(Z100&gt;0,Tableau16[[#This Row],[CDS]]=""),"Oui","Non")</f>
        <v>Non</v>
      </c>
      <c r="AB100" s="75"/>
      <c r="AC100" s="75"/>
      <c r="AD100" s="75"/>
      <c r="AE100" s="75"/>
      <c r="AF100" s="75"/>
      <c r="AG100" s="75"/>
      <c r="AH100" s="75"/>
      <c r="AI100" s="75"/>
      <c r="AJ100" s="81"/>
      <c r="AK100" s="75"/>
      <c r="AL100" s="75"/>
    </row>
    <row r="101" spans="1:38" ht="15.75" hidden="1" thickBot="1" x14ac:dyDescent="0.3">
      <c r="A101" s="75"/>
      <c r="B101" s="75"/>
      <c r="C101" s="35">
        <f>INDEX(Données!$F$2:$L$54,MATCH(F101,Données!$F$2:$F$54,0),2)</f>
        <v>43934</v>
      </c>
      <c r="D101" s="29" t="str">
        <f t="shared" si="2"/>
        <v>#5</v>
      </c>
      <c r="E101" s="7">
        <f>Données!J17</f>
        <v>43937</v>
      </c>
      <c r="F101" s="6" t="str">
        <f>INDEX(Données!$F$2:$L$54,MATCH('#5'!E101,Données!$G$2:$G$54,1),1)</f>
        <v>16</v>
      </c>
      <c r="G101" s="18" t="str">
        <f t="shared" si="3"/>
        <v/>
      </c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1"/>
      <c r="W101" s="75"/>
      <c r="X101" s="75"/>
      <c r="Y101" s="75"/>
      <c r="Z101" s="96">
        <f>SUM(Tableau16[[#This Row],[A-1]:[G-5]])</f>
        <v>0</v>
      </c>
      <c r="AA101" s="96" t="str">
        <f>IF(AND(Z101&gt;0,Tableau16[[#This Row],[CDS]]=""),"Oui","Non")</f>
        <v>Non</v>
      </c>
      <c r="AB101" s="75"/>
      <c r="AC101" s="75"/>
      <c r="AD101" s="75"/>
      <c r="AE101" s="75"/>
      <c r="AF101" s="75"/>
      <c r="AG101" s="75"/>
      <c r="AH101" s="75"/>
      <c r="AI101" s="75"/>
      <c r="AJ101" s="81"/>
      <c r="AK101" s="75"/>
      <c r="AL101" s="75"/>
    </row>
    <row r="102" spans="1:38" ht="15.75" hidden="1" thickBot="1" x14ac:dyDescent="0.3">
      <c r="A102" s="75"/>
      <c r="B102" s="75"/>
      <c r="C102" s="35">
        <f>INDEX(Données!$F$2:$L$54,MATCH(F102,Données!$F$2:$F$54,0),2)</f>
        <v>43934</v>
      </c>
      <c r="D102" s="29" t="str">
        <f t="shared" si="2"/>
        <v>#5</v>
      </c>
      <c r="E102" s="7">
        <f>Données!K17</f>
        <v>43938</v>
      </c>
      <c r="F102" s="6" t="str">
        <f>INDEX(Données!$F$2:$L$54,MATCH('#5'!E102,Données!$G$2:$G$54,1),1)</f>
        <v>16</v>
      </c>
      <c r="G102" s="18" t="str">
        <f t="shared" si="3"/>
        <v/>
      </c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1"/>
      <c r="W102" s="75"/>
      <c r="X102" s="75"/>
      <c r="Y102" s="75"/>
      <c r="Z102" s="96">
        <f>SUM(Tableau16[[#This Row],[A-1]:[G-5]])</f>
        <v>0</v>
      </c>
      <c r="AA102" s="96" t="str">
        <f>IF(AND(Z102&gt;0,Tableau16[[#This Row],[CDS]]=""),"Oui","Non")</f>
        <v>Non</v>
      </c>
      <c r="AB102" s="75"/>
      <c r="AC102" s="75"/>
      <c r="AD102" s="75"/>
      <c r="AE102" s="75"/>
      <c r="AF102" s="75"/>
      <c r="AG102" s="75"/>
      <c r="AH102" s="75"/>
      <c r="AI102" s="75"/>
      <c r="AJ102" s="81"/>
      <c r="AK102" s="75"/>
      <c r="AL102" s="75"/>
    </row>
    <row r="103" spans="1:38" ht="15.75" hidden="1" thickBot="1" x14ac:dyDescent="0.3">
      <c r="A103" s="75"/>
      <c r="B103" s="75"/>
      <c r="C103" s="35">
        <f>INDEX(Données!$F$2:$L$54,MATCH(F103,Données!$F$2:$F$54,0),2)</f>
        <v>43934</v>
      </c>
      <c r="D103" s="29" t="str">
        <f t="shared" si="2"/>
        <v>#5</v>
      </c>
      <c r="E103" s="7">
        <f>Données!L17</f>
        <v>43939</v>
      </c>
      <c r="F103" s="6" t="str">
        <f>INDEX(Données!$F$2:$L$54,MATCH('#5'!E103,Données!$G$2:$G$54,1),1)</f>
        <v>16</v>
      </c>
      <c r="G103" s="18" t="str">
        <f t="shared" si="3"/>
        <v/>
      </c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1"/>
      <c r="W103" s="75"/>
      <c r="X103" s="75"/>
      <c r="Y103" s="75"/>
      <c r="Z103" s="96">
        <f>SUM(Tableau16[[#This Row],[A-1]:[G-5]])</f>
        <v>0</v>
      </c>
      <c r="AA103" s="96" t="str">
        <f>IF(AND(Z103&gt;0,Tableau16[[#This Row],[CDS]]=""),"Oui","Non")</f>
        <v>Non</v>
      </c>
      <c r="AB103" s="75"/>
      <c r="AC103" s="75"/>
      <c r="AD103" s="75"/>
      <c r="AE103" s="75"/>
      <c r="AF103" s="75"/>
      <c r="AG103" s="75"/>
      <c r="AH103" s="75"/>
      <c r="AI103" s="75"/>
      <c r="AJ103" s="81"/>
      <c r="AK103" s="75"/>
      <c r="AL103" s="75"/>
    </row>
    <row r="104" spans="1:38" ht="15.75" hidden="1" thickBot="1" x14ac:dyDescent="0.3">
      <c r="A104" s="75"/>
      <c r="B104" s="75"/>
      <c r="C104" s="35">
        <f>INDEX(Données!$F$2:$L$54,MATCH(F104,Données!$F$2:$F$54,0),2)</f>
        <v>43941</v>
      </c>
      <c r="D104" s="29" t="str">
        <f t="shared" si="2"/>
        <v>#5</v>
      </c>
      <c r="E104" s="7">
        <f>Données!G18</f>
        <v>43941</v>
      </c>
      <c r="F104" s="6" t="str">
        <f>INDEX(Données!$F$2:$L$54,MATCH('#5'!E104,Données!$G$2:$G$54,1),1)</f>
        <v>17</v>
      </c>
      <c r="G104" s="18" t="str">
        <f t="shared" si="3"/>
        <v/>
      </c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1"/>
      <c r="W104" s="75"/>
      <c r="X104" s="75"/>
      <c r="Y104" s="75"/>
      <c r="Z104" s="96">
        <f>SUM(Tableau16[[#This Row],[A-1]:[G-5]])</f>
        <v>0</v>
      </c>
      <c r="AA104" s="96" t="str">
        <f>IF(AND(Z104&gt;0,Tableau16[[#This Row],[CDS]]=""),"Oui","Non")</f>
        <v>Non</v>
      </c>
      <c r="AB104" s="75"/>
      <c r="AC104" s="75"/>
      <c r="AD104" s="75"/>
      <c r="AE104" s="75"/>
      <c r="AF104" s="75"/>
      <c r="AG104" s="75"/>
      <c r="AH104" s="75"/>
      <c r="AI104" s="75"/>
      <c r="AJ104" s="81"/>
      <c r="AK104" s="75"/>
      <c r="AL104" s="75"/>
    </row>
    <row r="105" spans="1:38" ht="15.75" hidden="1" thickBot="1" x14ac:dyDescent="0.3">
      <c r="A105" s="75"/>
      <c r="B105" s="75"/>
      <c r="C105" s="35">
        <f>INDEX(Données!$F$2:$L$54,MATCH(F105,Données!$F$2:$F$54,0),2)</f>
        <v>43941</v>
      </c>
      <c r="D105" s="29" t="str">
        <f t="shared" si="2"/>
        <v>#5</v>
      </c>
      <c r="E105" s="7">
        <f>Données!H18</f>
        <v>43942</v>
      </c>
      <c r="F105" s="6" t="str">
        <f>INDEX(Données!$F$2:$L$54,MATCH('#5'!E105,Données!$G$2:$G$54,1),1)</f>
        <v>17</v>
      </c>
      <c r="G105" s="18" t="str">
        <f t="shared" si="3"/>
        <v/>
      </c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1"/>
      <c r="W105" s="75"/>
      <c r="X105" s="75"/>
      <c r="Y105" s="75"/>
      <c r="Z105" s="96">
        <f>SUM(Tableau16[[#This Row],[A-1]:[G-5]])</f>
        <v>0</v>
      </c>
      <c r="AA105" s="96" t="str">
        <f>IF(AND(Z105&gt;0,Tableau16[[#This Row],[CDS]]=""),"Oui","Non")</f>
        <v>Non</v>
      </c>
      <c r="AB105" s="75"/>
      <c r="AC105" s="75"/>
      <c r="AD105" s="75"/>
      <c r="AE105" s="75"/>
      <c r="AF105" s="75"/>
      <c r="AG105" s="75"/>
      <c r="AH105" s="75"/>
      <c r="AI105" s="75"/>
      <c r="AJ105" s="81"/>
      <c r="AK105" s="75"/>
      <c r="AL105" s="75"/>
    </row>
    <row r="106" spans="1:38" ht="15.75" hidden="1" thickBot="1" x14ac:dyDescent="0.3">
      <c r="A106" s="75"/>
      <c r="B106" s="75"/>
      <c r="C106" s="35">
        <f>INDEX(Données!$F$2:$L$54,MATCH(F106,Données!$F$2:$F$54,0),2)</f>
        <v>43941</v>
      </c>
      <c r="D106" s="29" t="str">
        <f t="shared" si="2"/>
        <v>#5</v>
      </c>
      <c r="E106" s="7">
        <f>Données!I18</f>
        <v>43943</v>
      </c>
      <c r="F106" s="6" t="str">
        <f>INDEX(Données!$F$2:$L$54,MATCH('#5'!E106,Données!$G$2:$G$54,1),1)</f>
        <v>17</v>
      </c>
      <c r="G106" s="18" t="str">
        <f t="shared" si="3"/>
        <v/>
      </c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1"/>
      <c r="W106" s="75"/>
      <c r="X106" s="75"/>
      <c r="Y106" s="75"/>
      <c r="Z106" s="96">
        <f>SUM(Tableau16[[#This Row],[A-1]:[G-5]])</f>
        <v>0</v>
      </c>
      <c r="AA106" s="96" t="str">
        <f>IF(AND(Z106&gt;0,Tableau16[[#This Row],[CDS]]=""),"Oui","Non")</f>
        <v>Non</v>
      </c>
      <c r="AB106" s="75"/>
      <c r="AC106" s="75"/>
      <c r="AD106" s="75"/>
      <c r="AE106" s="75"/>
      <c r="AF106" s="75"/>
      <c r="AG106" s="75"/>
      <c r="AH106" s="75"/>
      <c r="AI106" s="75"/>
      <c r="AJ106" s="81"/>
      <c r="AK106" s="75"/>
      <c r="AL106" s="75"/>
    </row>
    <row r="107" spans="1:38" ht="15.75" hidden="1" thickBot="1" x14ac:dyDescent="0.3">
      <c r="A107" s="75"/>
      <c r="B107" s="75"/>
      <c r="C107" s="35">
        <f>INDEX(Données!$F$2:$L$54,MATCH(F107,Données!$F$2:$F$54,0),2)</f>
        <v>43941</v>
      </c>
      <c r="D107" s="29" t="str">
        <f t="shared" si="2"/>
        <v>#5</v>
      </c>
      <c r="E107" s="7">
        <f>Données!J18</f>
        <v>43944</v>
      </c>
      <c r="F107" s="6" t="str">
        <f>INDEX(Données!$F$2:$L$54,MATCH('#5'!E107,Données!$G$2:$G$54,1),1)</f>
        <v>17</v>
      </c>
      <c r="G107" s="18" t="str">
        <f t="shared" si="3"/>
        <v/>
      </c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1"/>
      <c r="W107" s="75"/>
      <c r="X107" s="75"/>
      <c r="Y107" s="75"/>
      <c r="Z107" s="96">
        <f>SUM(Tableau16[[#This Row],[A-1]:[G-5]])</f>
        <v>0</v>
      </c>
      <c r="AA107" s="96" t="str">
        <f>IF(AND(Z107&gt;0,Tableau16[[#This Row],[CDS]]=""),"Oui","Non")</f>
        <v>Non</v>
      </c>
      <c r="AB107" s="75"/>
      <c r="AC107" s="75"/>
      <c r="AD107" s="75"/>
      <c r="AE107" s="75"/>
      <c r="AF107" s="75"/>
      <c r="AG107" s="75"/>
      <c r="AH107" s="75"/>
      <c r="AI107" s="75"/>
      <c r="AJ107" s="81"/>
      <c r="AK107" s="75"/>
      <c r="AL107" s="75"/>
    </row>
    <row r="108" spans="1:38" ht="15.75" hidden="1" thickBot="1" x14ac:dyDescent="0.3">
      <c r="A108" s="75"/>
      <c r="B108" s="75"/>
      <c r="C108" s="35">
        <f>INDEX(Données!$F$2:$L$54,MATCH(F108,Données!$F$2:$F$54,0),2)</f>
        <v>43941</v>
      </c>
      <c r="D108" s="29" t="str">
        <f t="shared" si="2"/>
        <v>#5</v>
      </c>
      <c r="E108" s="7">
        <f>Données!K18</f>
        <v>43945</v>
      </c>
      <c r="F108" s="6" t="str">
        <f>INDEX(Données!$F$2:$L$54,MATCH('#5'!E108,Données!$G$2:$G$54,1),1)</f>
        <v>17</v>
      </c>
      <c r="G108" s="18" t="str">
        <f t="shared" si="3"/>
        <v/>
      </c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1"/>
      <c r="W108" s="75"/>
      <c r="X108" s="75"/>
      <c r="Y108" s="75"/>
      <c r="Z108" s="96">
        <f>SUM(Tableau16[[#This Row],[A-1]:[G-5]])</f>
        <v>0</v>
      </c>
      <c r="AA108" s="96" t="str">
        <f>IF(AND(Z108&gt;0,Tableau16[[#This Row],[CDS]]=""),"Oui","Non")</f>
        <v>Non</v>
      </c>
      <c r="AB108" s="75"/>
      <c r="AC108" s="75"/>
      <c r="AD108" s="75"/>
      <c r="AE108" s="75"/>
      <c r="AF108" s="75"/>
      <c r="AG108" s="75"/>
      <c r="AH108" s="75"/>
      <c r="AI108" s="75"/>
      <c r="AJ108" s="81"/>
      <c r="AK108" s="75"/>
      <c r="AL108" s="75"/>
    </row>
    <row r="109" spans="1:38" ht="15.75" hidden="1" thickBot="1" x14ac:dyDescent="0.3">
      <c r="A109" s="75"/>
      <c r="B109" s="75"/>
      <c r="C109" s="35">
        <f>INDEX(Données!$F$2:$L$54,MATCH(F109,Données!$F$2:$F$54,0),2)</f>
        <v>43941</v>
      </c>
      <c r="D109" s="29" t="str">
        <f t="shared" si="2"/>
        <v>#5</v>
      </c>
      <c r="E109" s="7">
        <f>Données!L18</f>
        <v>43946</v>
      </c>
      <c r="F109" s="6" t="str">
        <f>INDEX(Données!$F$2:$L$54,MATCH('#5'!E109,Données!$G$2:$G$54,1),1)</f>
        <v>17</v>
      </c>
      <c r="G109" s="18" t="str">
        <f t="shared" si="3"/>
        <v/>
      </c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1"/>
      <c r="W109" s="75"/>
      <c r="X109" s="75"/>
      <c r="Y109" s="75"/>
      <c r="Z109" s="96">
        <f>SUM(Tableau16[[#This Row],[A-1]:[G-5]])</f>
        <v>0</v>
      </c>
      <c r="AA109" s="96" t="str">
        <f>IF(AND(Z109&gt;0,Tableau16[[#This Row],[CDS]]=""),"Oui","Non")</f>
        <v>Non</v>
      </c>
      <c r="AB109" s="75"/>
      <c r="AC109" s="75"/>
      <c r="AD109" s="75"/>
      <c r="AE109" s="75"/>
      <c r="AF109" s="75"/>
      <c r="AG109" s="75"/>
      <c r="AH109" s="75"/>
      <c r="AI109" s="75"/>
      <c r="AJ109" s="81"/>
      <c r="AK109" s="75"/>
      <c r="AL109" s="75"/>
    </row>
    <row r="110" spans="1:38" ht="15.75" hidden="1" thickBot="1" x14ac:dyDescent="0.3">
      <c r="A110" s="75"/>
      <c r="B110" s="75"/>
      <c r="C110" s="35">
        <f>INDEX(Données!$F$2:$L$54,MATCH(F110,Données!$F$2:$F$54,0),2)</f>
        <v>43948</v>
      </c>
      <c r="D110" s="29" t="str">
        <f t="shared" si="2"/>
        <v>#5</v>
      </c>
      <c r="E110" s="7">
        <f>Données!G19</f>
        <v>43948</v>
      </c>
      <c r="F110" s="6" t="str">
        <f>INDEX(Données!$F$2:$L$54,MATCH('#5'!E110,Données!$G$2:$G$54,1),1)</f>
        <v>18</v>
      </c>
      <c r="G110" s="18" t="str">
        <f t="shared" si="3"/>
        <v/>
      </c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1"/>
      <c r="W110" s="75"/>
      <c r="X110" s="75"/>
      <c r="Y110" s="75"/>
      <c r="Z110" s="96">
        <f>SUM(Tableau16[[#This Row],[A-1]:[G-5]])</f>
        <v>0</v>
      </c>
      <c r="AA110" s="96" t="str">
        <f>IF(AND(Z110&gt;0,Tableau16[[#This Row],[CDS]]=""),"Oui","Non")</f>
        <v>Non</v>
      </c>
      <c r="AB110" s="75"/>
      <c r="AC110" s="75"/>
      <c r="AD110" s="75"/>
      <c r="AE110" s="75"/>
      <c r="AF110" s="75"/>
      <c r="AG110" s="75"/>
      <c r="AH110" s="75"/>
      <c r="AI110" s="75"/>
      <c r="AJ110" s="81"/>
      <c r="AK110" s="75"/>
      <c r="AL110" s="75"/>
    </row>
    <row r="111" spans="1:38" ht="15.75" hidden="1" thickBot="1" x14ac:dyDescent="0.3">
      <c r="A111" s="75"/>
      <c r="B111" s="75"/>
      <c r="C111" s="35">
        <f>INDEX(Données!$F$2:$L$54,MATCH(F111,Données!$F$2:$F$54,0),2)</f>
        <v>43948</v>
      </c>
      <c r="D111" s="29" t="str">
        <f t="shared" si="2"/>
        <v>#5</v>
      </c>
      <c r="E111" s="7">
        <f>Données!H19</f>
        <v>43949</v>
      </c>
      <c r="F111" s="6" t="str">
        <f>INDEX(Données!$F$2:$L$54,MATCH('#5'!E111,Données!$G$2:$G$54,1),1)</f>
        <v>18</v>
      </c>
      <c r="G111" s="18" t="str">
        <f t="shared" si="3"/>
        <v/>
      </c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1"/>
      <c r="W111" s="75"/>
      <c r="X111" s="75"/>
      <c r="Y111" s="75"/>
      <c r="Z111" s="96">
        <f>SUM(Tableau16[[#This Row],[A-1]:[G-5]])</f>
        <v>0</v>
      </c>
      <c r="AA111" s="96" t="str">
        <f>IF(AND(Z111&gt;0,Tableau16[[#This Row],[CDS]]=""),"Oui","Non")</f>
        <v>Non</v>
      </c>
      <c r="AB111" s="75"/>
      <c r="AC111" s="75"/>
      <c r="AD111" s="75"/>
      <c r="AE111" s="75"/>
      <c r="AF111" s="75"/>
      <c r="AG111" s="75"/>
      <c r="AH111" s="75"/>
      <c r="AI111" s="75"/>
      <c r="AJ111" s="81"/>
      <c r="AK111" s="75"/>
      <c r="AL111" s="75"/>
    </row>
    <row r="112" spans="1:38" ht="15.75" hidden="1" thickBot="1" x14ac:dyDescent="0.3">
      <c r="A112" s="75"/>
      <c r="B112" s="75"/>
      <c r="C112" s="35">
        <f>INDEX(Données!$F$2:$L$54,MATCH(F112,Données!$F$2:$F$54,0),2)</f>
        <v>43948</v>
      </c>
      <c r="D112" s="29" t="str">
        <f t="shared" si="2"/>
        <v>#5</v>
      </c>
      <c r="E112" s="7">
        <f>Données!I19</f>
        <v>43950</v>
      </c>
      <c r="F112" s="6" t="str">
        <f>INDEX(Données!$F$2:$L$54,MATCH('#5'!E112,Données!$G$2:$G$54,1),1)</f>
        <v>18</v>
      </c>
      <c r="G112" s="18" t="str">
        <f t="shared" si="3"/>
        <v/>
      </c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1"/>
      <c r="W112" s="75"/>
      <c r="X112" s="75"/>
      <c r="Y112" s="75"/>
      <c r="Z112" s="96">
        <f>SUM(Tableau16[[#This Row],[A-1]:[G-5]])</f>
        <v>0</v>
      </c>
      <c r="AA112" s="96" t="str">
        <f>IF(AND(Z112&gt;0,Tableau16[[#This Row],[CDS]]=""),"Oui","Non")</f>
        <v>Non</v>
      </c>
      <c r="AB112" s="75"/>
      <c r="AC112" s="75"/>
      <c r="AD112" s="75"/>
      <c r="AE112" s="75"/>
      <c r="AF112" s="75"/>
      <c r="AG112" s="75"/>
      <c r="AH112" s="75"/>
      <c r="AI112" s="75"/>
      <c r="AJ112" s="81"/>
      <c r="AK112" s="75"/>
      <c r="AL112" s="75"/>
    </row>
    <row r="113" spans="1:38" ht="15.75" hidden="1" thickBot="1" x14ac:dyDescent="0.3">
      <c r="A113" s="75"/>
      <c r="B113" s="75"/>
      <c r="C113" s="35">
        <f>INDEX(Données!$F$2:$L$54,MATCH(F113,Données!$F$2:$F$54,0),2)</f>
        <v>43948</v>
      </c>
      <c r="D113" s="29" t="str">
        <f t="shared" si="2"/>
        <v>#5</v>
      </c>
      <c r="E113" s="7">
        <f>Données!J19</f>
        <v>43951</v>
      </c>
      <c r="F113" s="6" t="str">
        <f>INDEX(Données!$F$2:$L$54,MATCH('#5'!E113,Données!$G$2:$G$54,1),1)</f>
        <v>18</v>
      </c>
      <c r="G113" s="18" t="str">
        <f t="shared" si="3"/>
        <v/>
      </c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1"/>
      <c r="W113" s="75"/>
      <c r="X113" s="75"/>
      <c r="Y113" s="75"/>
      <c r="Z113" s="96">
        <f>SUM(Tableau16[[#This Row],[A-1]:[G-5]])</f>
        <v>0</v>
      </c>
      <c r="AA113" s="96" t="str">
        <f>IF(AND(Z113&gt;0,Tableau16[[#This Row],[CDS]]=""),"Oui","Non")</f>
        <v>Non</v>
      </c>
      <c r="AB113" s="75"/>
      <c r="AC113" s="75"/>
      <c r="AD113" s="75"/>
      <c r="AE113" s="75"/>
      <c r="AF113" s="75"/>
      <c r="AG113" s="75"/>
      <c r="AH113" s="75"/>
      <c r="AI113" s="75"/>
      <c r="AJ113" s="81"/>
      <c r="AK113" s="75"/>
      <c r="AL113" s="75"/>
    </row>
    <row r="114" spans="1:38" ht="15.75" hidden="1" thickBot="1" x14ac:dyDescent="0.3">
      <c r="A114" s="75"/>
      <c r="B114" s="75"/>
      <c r="C114" s="35">
        <f>INDEX(Données!$F$2:$L$54,MATCH(F114,Données!$F$2:$F$54,0),2)</f>
        <v>43948</v>
      </c>
      <c r="D114" s="29" t="str">
        <f t="shared" si="2"/>
        <v>#5</v>
      </c>
      <c r="E114" s="7">
        <f>Données!K19</f>
        <v>43952</v>
      </c>
      <c r="F114" s="6" t="str">
        <f>INDEX(Données!$F$2:$L$54,MATCH('#5'!E114,Données!$G$2:$G$54,1),1)</f>
        <v>18</v>
      </c>
      <c r="G114" s="18" t="str">
        <f t="shared" si="3"/>
        <v/>
      </c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1"/>
      <c r="W114" s="75"/>
      <c r="X114" s="75"/>
      <c r="Y114" s="75"/>
      <c r="Z114" s="96">
        <f>SUM(Tableau16[[#This Row],[A-1]:[G-5]])</f>
        <v>0</v>
      </c>
      <c r="AA114" s="96" t="str">
        <f>IF(AND(Z114&gt;0,Tableau16[[#This Row],[CDS]]=""),"Oui","Non")</f>
        <v>Non</v>
      </c>
      <c r="AB114" s="75"/>
      <c r="AC114" s="75"/>
      <c r="AD114" s="75"/>
      <c r="AE114" s="75"/>
      <c r="AF114" s="75"/>
      <c r="AG114" s="75"/>
      <c r="AH114" s="75"/>
      <c r="AI114" s="75"/>
      <c r="AJ114" s="81"/>
      <c r="AK114" s="75"/>
      <c r="AL114" s="75"/>
    </row>
    <row r="115" spans="1:38" ht="15.75" hidden="1" thickBot="1" x14ac:dyDescent="0.3">
      <c r="A115" s="75"/>
      <c r="B115" s="75"/>
      <c r="C115" s="35">
        <f>INDEX(Données!$F$2:$L$54,MATCH(F115,Données!$F$2:$F$54,0),2)</f>
        <v>43948</v>
      </c>
      <c r="D115" s="29" t="str">
        <f t="shared" si="2"/>
        <v>#5</v>
      </c>
      <c r="E115" s="7">
        <f>Données!L19</f>
        <v>43953</v>
      </c>
      <c r="F115" s="6" t="str">
        <f>INDEX(Données!$F$2:$L$54,MATCH('#5'!E115,Données!$G$2:$G$54,1),1)</f>
        <v>18</v>
      </c>
      <c r="G115" s="18" t="str">
        <f t="shared" si="3"/>
        <v/>
      </c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1"/>
      <c r="W115" s="75"/>
      <c r="X115" s="75"/>
      <c r="Y115" s="75"/>
      <c r="Z115" s="96">
        <f>SUM(Tableau16[[#This Row],[A-1]:[G-5]])</f>
        <v>0</v>
      </c>
      <c r="AA115" s="96" t="str">
        <f>IF(AND(Z115&gt;0,Tableau16[[#This Row],[CDS]]=""),"Oui","Non")</f>
        <v>Non</v>
      </c>
      <c r="AB115" s="75"/>
      <c r="AC115" s="75"/>
      <c r="AD115" s="75"/>
      <c r="AE115" s="75"/>
      <c r="AF115" s="75"/>
      <c r="AG115" s="75"/>
      <c r="AH115" s="75"/>
      <c r="AI115" s="75"/>
      <c r="AJ115" s="81"/>
      <c r="AK115" s="75"/>
      <c r="AL115" s="75"/>
    </row>
    <row r="116" spans="1:38" ht="15.75" hidden="1" thickBot="1" x14ac:dyDescent="0.3">
      <c r="A116" s="75"/>
      <c r="B116" s="75"/>
      <c r="C116" s="35">
        <f>INDEX(Données!$F$2:$L$54,MATCH(F116,Données!$F$2:$F$54,0),2)</f>
        <v>43955</v>
      </c>
      <c r="D116" s="29" t="str">
        <f t="shared" si="2"/>
        <v>#5</v>
      </c>
      <c r="E116" s="7">
        <f>Données!G20</f>
        <v>43955</v>
      </c>
      <c r="F116" s="6" t="str">
        <f>INDEX(Données!$F$2:$L$54,MATCH('#5'!E116,Données!$G$2:$G$54,1),1)</f>
        <v>19</v>
      </c>
      <c r="G116" s="18" t="str">
        <f t="shared" si="3"/>
        <v/>
      </c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1"/>
      <c r="W116" s="75"/>
      <c r="X116" s="75"/>
      <c r="Y116" s="75"/>
      <c r="Z116" s="96">
        <f>SUM(Tableau16[[#This Row],[A-1]:[G-5]])</f>
        <v>0</v>
      </c>
      <c r="AA116" s="96" t="str">
        <f>IF(AND(Z116&gt;0,Tableau16[[#This Row],[CDS]]=""),"Oui","Non")</f>
        <v>Non</v>
      </c>
      <c r="AB116" s="75"/>
      <c r="AC116" s="75"/>
      <c r="AD116" s="75"/>
      <c r="AE116" s="75"/>
      <c r="AF116" s="75"/>
      <c r="AG116" s="75"/>
      <c r="AH116" s="75"/>
      <c r="AI116" s="75"/>
      <c r="AJ116" s="81"/>
      <c r="AK116" s="75"/>
      <c r="AL116" s="75"/>
    </row>
    <row r="117" spans="1:38" ht="15.75" hidden="1" thickBot="1" x14ac:dyDescent="0.3">
      <c r="A117" s="75"/>
      <c r="B117" s="75"/>
      <c r="C117" s="35">
        <f>INDEX(Données!$F$2:$L$54,MATCH(F117,Données!$F$2:$F$54,0),2)</f>
        <v>43955</v>
      </c>
      <c r="D117" s="29" t="str">
        <f t="shared" si="2"/>
        <v>#5</v>
      </c>
      <c r="E117" s="7">
        <f>Données!H20</f>
        <v>43956</v>
      </c>
      <c r="F117" s="6" t="str">
        <f>INDEX(Données!$F$2:$L$54,MATCH('#5'!E117,Données!$G$2:$G$54,1),1)</f>
        <v>19</v>
      </c>
      <c r="G117" s="18" t="str">
        <f t="shared" si="3"/>
        <v/>
      </c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1"/>
      <c r="W117" s="75"/>
      <c r="X117" s="75"/>
      <c r="Y117" s="75"/>
      <c r="Z117" s="96">
        <f>SUM(Tableau16[[#This Row],[A-1]:[G-5]])</f>
        <v>0</v>
      </c>
      <c r="AA117" s="96" t="str">
        <f>IF(AND(Z117&gt;0,Tableau16[[#This Row],[CDS]]=""),"Oui","Non")</f>
        <v>Non</v>
      </c>
      <c r="AB117" s="75"/>
      <c r="AC117" s="75"/>
      <c r="AD117" s="75"/>
      <c r="AE117" s="75"/>
      <c r="AF117" s="75"/>
      <c r="AG117" s="75"/>
      <c r="AH117" s="75"/>
      <c r="AI117" s="75"/>
      <c r="AJ117" s="81"/>
      <c r="AK117" s="75"/>
      <c r="AL117" s="75"/>
    </row>
    <row r="118" spans="1:38" ht="15.75" hidden="1" thickBot="1" x14ac:dyDescent="0.3">
      <c r="A118" s="75"/>
      <c r="B118" s="75"/>
      <c r="C118" s="35">
        <f>INDEX(Données!$F$2:$L$54,MATCH(F118,Données!$F$2:$F$54,0),2)</f>
        <v>43955</v>
      </c>
      <c r="D118" s="29" t="str">
        <f t="shared" si="2"/>
        <v>#5</v>
      </c>
      <c r="E118" s="7">
        <f>Données!I20</f>
        <v>43957</v>
      </c>
      <c r="F118" s="6" t="str">
        <f>INDEX(Données!$F$2:$L$54,MATCH('#5'!E118,Données!$G$2:$G$54,1),1)</f>
        <v>19</v>
      </c>
      <c r="G118" s="18" t="str">
        <f t="shared" si="3"/>
        <v/>
      </c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1"/>
      <c r="W118" s="75"/>
      <c r="X118" s="75"/>
      <c r="Y118" s="75"/>
      <c r="Z118" s="96">
        <f>SUM(Tableau16[[#This Row],[A-1]:[G-5]])</f>
        <v>0</v>
      </c>
      <c r="AA118" s="96" t="str">
        <f>IF(AND(Z118&gt;0,Tableau16[[#This Row],[CDS]]=""),"Oui","Non")</f>
        <v>Non</v>
      </c>
      <c r="AB118" s="75"/>
      <c r="AC118" s="75"/>
      <c r="AD118" s="75"/>
      <c r="AE118" s="75"/>
      <c r="AF118" s="75"/>
      <c r="AG118" s="75"/>
      <c r="AH118" s="75"/>
      <c r="AI118" s="75"/>
      <c r="AJ118" s="81"/>
      <c r="AK118" s="75"/>
      <c r="AL118" s="75"/>
    </row>
    <row r="119" spans="1:38" ht="15.75" hidden="1" thickBot="1" x14ac:dyDescent="0.3">
      <c r="A119" s="75"/>
      <c r="B119" s="75"/>
      <c r="C119" s="35">
        <f>INDEX(Données!$F$2:$L$54,MATCH(F119,Données!$F$2:$F$54,0),2)</f>
        <v>43955</v>
      </c>
      <c r="D119" s="29" t="str">
        <f t="shared" si="2"/>
        <v>#5</v>
      </c>
      <c r="E119" s="7">
        <f>Données!J20</f>
        <v>43958</v>
      </c>
      <c r="F119" s="6" t="str">
        <f>INDEX(Données!$F$2:$L$54,MATCH('#5'!E119,Données!$G$2:$G$54,1),1)</f>
        <v>19</v>
      </c>
      <c r="G119" s="18" t="str">
        <f t="shared" si="3"/>
        <v/>
      </c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1"/>
      <c r="W119" s="75"/>
      <c r="X119" s="75"/>
      <c r="Y119" s="75"/>
      <c r="Z119" s="96">
        <f>SUM(Tableau16[[#This Row],[A-1]:[G-5]])</f>
        <v>0</v>
      </c>
      <c r="AA119" s="96" t="str">
        <f>IF(AND(Z119&gt;0,Tableau16[[#This Row],[CDS]]=""),"Oui","Non")</f>
        <v>Non</v>
      </c>
      <c r="AB119" s="75"/>
      <c r="AC119" s="75"/>
      <c r="AD119" s="75"/>
      <c r="AE119" s="75"/>
      <c r="AF119" s="75"/>
      <c r="AG119" s="75"/>
      <c r="AH119" s="75"/>
      <c r="AI119" s="75"/>
      <c r="AJ119" s="81"/>
      <c r="AK119" s="75"/>
      <c r="AL119" s="75"/>
    </row>
    <row r="120" spans="1:38" ht="15.75" hidden="1" thickBot="1" x14ac:dyDescent="0.3">
      <c r="A120" s="75"/>
      <c r="B120" s="75"/>
      <c r="C120" s="35">
        <f>INDEX(Données!$F$2:$L$54,MATCH(F120,Données!$F$2:$F$54,0),2)</f>
        <v>43955</v>
      </c>
      <c r="D120" s="29" t="str">
        <f t="shared" si="2"/>
        <v>#5</v>
      </c>
      <c r="E120" s="7">
        <f>Données!K20</f>
        <v>43959</v>
      </c>
      <c r="F120" s="6" t="str">
        <f>INDEX(Données!$F$2:$L$54,MATCH('#5'!E120,Données!$G$2:$G$54,1),1)</f>
        <v>19</v>
      </c>
      <c r="G120" s="18" t="str">
        <f t="shared" si="3"/>
        <v/>
      </c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1"/>
      <c r="W120" s="75"/>
      <c r="X120" s="75"/>
      <c r="Y120" s="75"/>
      <c r="Z120" s="96">
        <f>SUM(Tableau16[[#This Row],[A-1]:[G-5]])</f>
        <v>0</v>
      </c>
      <c r="AA120" s="96" t="str">
        <f>IF(AND(Z120&gt;0,Tableau16[[#This Row],[CDS]]=""),"Oui","Non")</f>
        <v>Non</v>
      </c>
      <c r="AB120" s="75"/>
      <c r="AC120" s="75"/>
      <c r="AD120" s="75"/>
      <c r="AE120" s="75"/>
      <c r="AF120" s="75"/>
      <c r="AG120" s="75"/>
      <c r="AH120" s="75"/>
      <c r="AI120" s="75"/>
      <c r="AJ120" s="81"/>
      <c r="AK120" s="75"/>
      <c r="AL120" s="75"/>
    </row>
    <row r="121" spans="1:38" ht="15.75" hidden="1" thickBot="1" x14ac:dyDescent="0.3">
      <c r="A121" s="75"/>
      <c r="B121" s="75"/>
      <c r="C121" s="35">
        <f>INDEX(Données!$F$2:$L$54,MATCH(F121,Données!$F$2:$F$54,0),2)</f>
        <v>43955</v>
      </c>
      <c r="D121" s="29" t="str">
        <f t="shared" si="2"/>
        <v>#5</v>
      </c>
      <c r="E121" s="7">
        <f>Données!L20</f>
        <v>43960</v>
      </c>
      <c r="F121" s="6" t="str">
        <f>INDEX(Données!$F$2:$L$54,MATCH('#5'!E121,Données!$G$2:$G$54,1),1)</f>
        <v>19</v>
      </c>
      <c r="G121" s="18" t="str">
        <f t="shared" si="3"/>
        <v/>
      </c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1"/>
      <c r="W121" s="75"/>
      <c r="X121" s="75"/>
      <c r="Y121" s="75"/>
      <c r="Z121" s="96">
        <f>SUM(Tableau16[[#This Row],[A-1]:[G-5]])</f>
        <v>0</v>
      </c>
      <c r="AA121" s="96" t="str">
        <f>IF(AND(Z121&gt;0,Tableau16[[#This Row],[CDS]]=""),"Oui","Non")</f>
        <v>Non</v>
      </c>
      <c r="AB121" s="75"/>
      <c r="AC121" s="75"/>
      <c r="AD121" s="75"/>
      <c r="AE121" s="75"/>
      <c r="AF121" s="75"/>
      <c r="AG121" s="75"/>
      <c r="AH121" s="75"/>
      <c r="AI121" s="75"/>
      <c r="AJ121" s="81"/>
      <c r="AK121" s="75"/>
      <c r="AL121" s="75"/>
    </row>
    <row r="122" spans="1:38" ht="15.75" hidden="1" thickBot="1" x14ac:dyDescent="0.3">
      <c r="A122" s="75"/>
      <c r="B122" s="75"/>
      <c r="C122" s="35">
        <f>INDEX(Données!$F$2:$L$54,MATCH(F122,Données!$F$2:$F$54,0),2)</f>
        <v>43962</v>
      </c>
      <c r="D122" s="29" t="str">
        <f t="shared" si="2"/>
        <v>#5</v>
      </c>
      <c r="E122" s="7">
        <f>Données!G21</f>
        <v>43962</v>
      </c>
      <c r="F122" s="6" t="str">
        <f>INDEX(Données!$F$2:$L$54,MATCH('#5'!E122,Données!$G$2:$G$54,1),1)</f>
        <v>20</v>
      </c>
      <c r="G122" s="18" t="str">
        <f t="shared" si="3"/>
        <v/>
      </c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1"/>
      <c r="W122" s="75"/>
      <c r="X122" s="75"/>
      <c r="Y122" s="75"/>
      <c r="Z122" s="96">
        <f>SUM(Tableau16[[#This Row],[A-1]:[G-5]])</f>
        <v>0</v>
      </c>
      <c r="AA122" s="96" t="str">
        <f>IF(AND(Z122&gt;0,Tableau16[[#This Row],[CDS]]=""),"Oui","Non")</f>
        <v>Non</v>
      </c>
      <c r="AB122" s="75"/>
      <c r="AC122" s="75"/>
      <c r="AD122" s="75"/>
      <c r="AE122" s="75"/>
      <c r="AF122" s="75"/>
      <c r="AG122" s="75"/>
      <c r="AH122" s="75"/>
      <c r="AI122" s="75"/>
      <c r="AJ122" s="81"/>
      <c r="AK122" s="75"/>
      <c r="AL122" s="75"/>
    </row>
    <row r="123" spans="1:38" ht="15.75" hidden="1" thickBot="1" x14ac:dyDescent="0.3">
      <c r="A123" s="75"/>
      <c r="B123" s="75"/>
      <c r="C123" s="35">
        <f>INDEX(Données!$F$2:$L$54,MATCH(F123,Données!$F$2:$F$54,0),2)</f>
        <v>43962</v>
      </c>
      <c r="D123" s="29" t="str">
        <f t="shared" si="2"/>
        <v>#5</v>
      </c>
      <c r="E123" s="7">
        <f>Données!H21</f>
        <v>43963</v>
      </c>
      <c r="F123" s="6" t="str">
        <f>INDEX(Données!$F$2:$L$54,MATCH('#5'!E123,Données!$G$2:$G$54,1),1)</f>
        <v>20</v>
      </c>
      <c r="G123" s="18" t="str">
        <f t="shared" si="3"/>
        <v/>
      </c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1"/>
      <c r="W123" s="75"/>
      <c r="X123" s="75"/>
      <c r="Y123" s="75"/>
      <c r="Z123" s="96">
        <f>SUM(Tableau16[[#This Row],[A-1]:[G-5]])</f>
        <v>0</v>
      </c>
      <c r="AA123" s="96" t="str">
        <f>IF(AND(Z123&gt;0,Tableau16[[#This Row],[CDS]]=""),"Oui","Non")</f>
        <v>Non</v>
      </c>
      <c r="AB123" s="75"/>
      <c r="AC123" s="75"/>
      <c r="AD123" s="75"/>
      <c r="AE123" s="75"/>
      <c r="AF123" s="75"/>
      <c r="AG123" s="75"/>
      <c r="AH123" s="75"/>
      <c r="AI123" s="75"/>
      <c r="AJ123" s="81"/>
      <c r="AK123" s="75"/>
      <c r="AL123" s="75"/>
    </row>
    <row r="124" spans="1:38" ht="15.75" hidden="1" thickBot="1" x14ac:dyDescent="0.3">
      <c r="A124" s="75"/>
      <c r="B124" s="75"/>
      <c r="C124" s="35">
        <f>INDEX(Données!$F$2:$L$54,MATCH(F124,Données!$F$2:$F$54,0),2)</f>
        <v>43962</v>
      </c>
      <c r="D124" s="29" t="str">
        <f t="shared" si="2"/>
        <v>#5</v>
      </c>
      <c r="E124" s="7">
        <f>Données!I21</f>
        <v>43964</v>
      </c>
      <c r="F124" s="6" t="str">
        <f>INDEX(Données!$F$2:$L$54,MATCH('#5'!E124,Données!$G$2:$G$54,1),1)</f>
        <v>20</v>
      </c>
      <c r="G124" s="18" t="str">
        <f t="shared" si="3"/>
        <v/>
      </c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1"/>
      <c r="W124" s="75"/>
      <c r="X124" s="75"/>
      <c r="Y124" s="75"/>
      <c r="Z124" s="96">
        <f>SUM(Tableau16[[#This Row],[A-1]:[G-5]])</f>
        <v>0</v>
      </c>
      <c r="AA124" s="96" t="str">
        <f>IF(AND(Z124&gt;0,Tableau16[[#This Row],[CDS]]=""),"Oui","Non")</f>
        <v>Non</v>
      </c>
      <c r="AB124" s="75"/>
      <c r="AC124" s="75"/>
      <c r="AD124" s="75"/>
      <c r="AE124" s="75"/>
      <c r="AF124" s="75"/>
      <c r="AG124" s="75"/>
      <c r="AH124" s="75"/>
      <c r="AI124" s="75"/>
      <c r="AJ124" s="81"/>
      <c r="AK124" s="75"/>
      <c r="AL124" s="75"/>
    </row>
    <row r="125" spans="1:38" ht="15.75" hidden="1" thickBot="1" x14ac:dyDescent="0.3">
      <c r="A125" s="75"/>
      <c r="B125" s="75"/>
      <c r="C125" s="35">
        <f>INDEX(Données!$F$2:$L$54,MATCH(F125,Données!$F$2:$F$54,0),2)</f>
        <v>43962</v>
      </c>
      <c r="D125" s="29" t="str">
        <f t="shared" si="2"/>
        <v>#5</v>
      </c>
      <c r="E125" s="7">
        <f>Données!J21</f>
        <v>43965</v>
      </c>
      <c r="F125" s="6" t="str">
        <f>INDEX(Données!$F$2:$L$54,MATCH('#5'!E125,Données!$G$2:$G$54,1),1)</f>
        <v>20</v>
      </c>
      <c r="G125" s="18" t="str">
        <f t="shared" si="3"/>
        <v/>
      </c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1"/>
      <c r="W125" s="75"/>
      <c r="X125" s="75"/>
      <c r="Y125" s="75"/>
      <c r="Z125" s="96">
        <f>SUM(Tableau16[[#This Row],[A-1]:[G-5]])</f>
        <v>0</v>
      </c>
      <c r="AA125" s="96" t="str">
        <f>IF(AND(Z125&gt;0,Tableau16[[#This Row],[CDS]]=""),"Oui","Non")</f>
        <v>Non</v>
      </c>
      <c r="AB125" s="75"/>
      <c r="AC125" s="75"/>
      <c r="AD125" s="75"/>
      <c r="AE125" s="75"/>
      <c r="AF125" s="75"/>
      <c r="AG125" s="75"/>
      <c r="AH125" s="75"/>
      <c r="AI125" s="75"/>
      <c r="AJ125" s="81"/>
      <c r="AK125" s="75"/>
      <c r="AL125" s="75"/>
    </row>
    <row r="126" spans="1:38" ht="15.75" hidden="1" thickBot="1" x14ac:dyDescent="0.3">
      <c r="A126" s="75"/>
      <c r="B126" s="75"/>
      <c r="C126" s="35">
        <f>INDEX(Données!$F$2:$L$54,MATCH(F126,Données!$F$2:$F$54,0),2)</f>
        <v>43962</v>
      </c>
      <c r="D126" s="29" t="str">
        <f t="shared" si="2"/>
        <v>#5</v>
      </c>
      <c r="E126" s="7">
        <f>Données!K21</f>
        <v>43966</v>
      </c>
      <c r="F126" s="6" t="str">
        <f>INDEX(Données!$F$2:$L$54,MATCH('#5'!E126,Données!$G$2:$G$54,1),1)</f>
        <v>20</v>
      </c>
      <c r="G126" s="18" t="str">
        <f t="shared" si="3"/>
        <v/>
      </c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1"/>
      <c r="W126" s="75"/>
      <c r="X126" s="75"/>
      <c r="Y126" s="75"/>
      <c r="Z126" s="96">
        <f>SUM(Tableau16[[#This Row],[A-1]:[G-5]])</f>
        <v>0</v>
      </c>
      <c r="AA126" s="96" t="str">
        <f>IF(AND(Z126&gt;0,Tableau16[[#This Row],[CDS]]=""),"Oui","Non")</f>
        <v>Non</v>
      </c>
      <c r="AB126" s="75"/>
      <c r="AC126" s="75"/>
      <c r="AD126" s="75"/>
      <c r="AE126" s="75"/>
      <c r="AF126" s="75"/>
      <c r="AG126" s="75"/>
      <c r="AH126" s="75"/>
      <c r="AI126" s="75"/>
      <c r="AJ126" s="81"/>
      <c r="AK126" s="75"/>
      <c r="AL126" s="75"/>
    </row>
    <row r="127" spans="1:38" ht="15.75" hidden="1" thickBot="1" x14ac:dyDescent="0.3">
      <c r="A127" s="75"/>
      <c r="B127" s="75"/>
      <c r="C127" s="35">
        <f>INDEX(Données!$F$2:$L$54,MATCH(F127,Données!$F$2:$F$54,0),2)</f>
        <v>43962</v>
      </c>
      <c r="D127" s="29" t="str">
        <f t="shared" si="2"/>
        <v>#5</v>
      </c>
      <c r="E127" s="7">
        <f>Données!L21</f>
        <v>43967</v>
      </c>
      <c r="F127" s="6" t="str">
        <f>INDEX(Données!$F$2:$L$54,MATCH('#5'!E127,Données!$G$2:$G$54,1),1)</f>
        <v>20</v>
      </c>
      <c r="G127" s="18" t="str">
        <f t="shared" si="3"/>
        <v/>
      </c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1"/>
      <c r="W127" s="75"/>
      <c r="X127" s="75"/>
      <c r="Y127" s="75"/>
      <c r="Z127" s="96">
        <f>SUM(Tableau16[[#This Row],[A-1]:[G-5]])</f>
        <v>0</v>
      </c>
      <c r="AA127" s="96" t="str">
        <f>IF(AND(Z127&gt;0,Tableau16[[#This Row],[CDS]]=""),"Oui","Non")</f>
        <v>Non</v>
      </c>
      <c r="AB127" s="75"/>
      <c r="AC127" s="75"/>
      <c r="AD127" s="75"/>
      <c r="AE127" s="75"/>
      <c r="AF127" s="75"/>
      <c r="AG127" s="75"/>
      <c r="AH127" s="75"/>
      <c r="AI127" s="75"/>
      <c r="AJ127" s="81"/>
      <c r="AK127" s="75"/>
      <c r="AL127" s="75"/>
    </row>
    <row r="128" spans="1:38" ht="15.75" hidden="1" thickBot="1" x14ac:dyDescent="0.3">
      <c r="A128" s="75"/>
      <c r="B128" s="75"/>
      <c r="C128" s="35">
        <f>INDEX(Données!$F$2:$L$54,MATCH(F128,Données!$F$2:$F$54,0),2)</f>
        <v>43969</v>
      </c>
      <c r="D128" s="29" t="str">
        <f t="shared" si="2"/>
        <v>#5</v>
      </c>
      <c r="E128" s="7">
        <f>Données!G22</f>
        <v>43969</v>
      </c>
      <c r="F128" s="6" t="str">
        <f>INDEX(Données!$F$2:$L$54,MATCH('#5'!E128,Données!$G$2:$G$54,1),1)</f>
        <v>21</v>
      </c>
      <c r="G128" s="18" t="str">
        <f t="shared" si="3"/>
        <v/>
      </c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1"/>
      <c r="W128" s="75"/>
      <c r="X128" s="75"/>
      <c r="Y128" s="75"/>
      <c r="Z128" s="96">
        <f>SUM(Tableau16[[#This Row],[A-1]:[G-5]])</f>
        <v>0</v>
      </c>
      <c r="AA128" s="96" t="str">
        <f>IF(AND(Z128&gt;0,Tableau16[[#This Row],[CDS]]=""),"Oui","Non")</f>
        <v>Non</v>
      </c>
      <c r="AB128" s="75"/>
      <c r="AC128" s="75"/>
      <c r="AD128" s="75"/>
      <c r="AE128" s="75"/>
      <c r="AF128" s="75"/>
      <c r="AG128" s="75"/>
      <c r="AH128" s="75"/>
      <c r="AI128" s="75"/>
      <c r="AJ128" s="81"/>
      <c r="AK128" s="75"/>
      <c r="AL128" s="75"/>
    </row>
    <row r="129" spans="1:38" ht="15.75" hidden="1" thickBot="1" x14ac:dyDescent="0.3">
      <c r="A129" s="75"/>
      <c r="B129" s="75"/>
      <c r="C129" s="35">
        <f>INDEX(Données!$F$2:$L$54,MATCH(F129,Données!$F$2:$F$54,0),2)</f>
        <v>43969</v>
      </c>
      <c r="D129" s="29" t="str">
        <f t="shared" si="2"/>
        <v>#5</v>
      </c>
      <c r="E129" s="7">
        <f>Données!H22</f>
        <v>43970</v>
      </c>
      <c r="F129" s="6" t="str">
        <f>INDEX(Données!$F$2:$L$54,MATCH('#5'!E129,Données!$G$2:$G$54,1),1)</f>
        <v>21</v>
      </c>
      <c r="G129" s="18" t="str">
        <f t="shared" si="3"/>
        <v/>
      </c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1"/>
      <c r="W129" s="75"/>
      <c r="X129" s="75"/>
      <c r="Y129" s="75"/>
      <c r="Z129" s="96">
        <f>SUM(Tableau16[[#This Row],[A-1]:[G-5]])</f>
        <v>0</v>
      </c>
      <c r="AA129" s="96" t="str">
        <f>IF(AND(Z129&gt;0,Tableau16[[#This Row],[CDS]]=""),"Oui","Non")</f>
        <v>Non</v>
      </c>
      <c r="AB129" s="75"/>
      <c r="AC129" s="75"/>
      <c r="AD129" s="75"/>
      <c r="AE129" s="75"/>
      <c r="AF129" s="75"/>
      <c r="AG129" s="75"/>
      <c r="AH129" s="75"/>
      <c r="AI129" s="75"/>
      <c r="AJ129" s="81"/>
      <c r="AK129" s="75"/>
      <c r="AL129" s="75"/>
    </row>
    <row r="130" spans="1:38" ht="15.75" hidden="1" thickBot="1" x14ac:dyDescent="0.3">
      <c r="A130" s="75"/>
      <c r="B130" s="75"/>
      <c r="C130" s="35">
        <f>INDEX(Données!$F$2:$L$54,MATCH(F130,Données!$F$2:$F$54,0),2)</f>
        <v>43969</v>
      </c>
      <c r="D130" s="29" t="str">
        <f t="shared" si="2"/>
        <v>#5</v>
      </c>
      <c r="E130" s="7">
        <f>Données!I22</f>
        <v>43971</v>
      </c>
      <c r="F130" s="6" t="str">
        <f>INDEX(Données!$F$2:$L$54,MATCH('#5'!E130,Données!$G$2:$G$54,1),1)</f>
        <v>21</v>
      </c>
      <c r="G130" s="18" t="str">
        <f t="shared" si="3"/>
        <v/>
      </c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1"/>
      <c r="W130" s="75"/>
      <c r="X130" s="75"/>
      <c r="Y130" s="75"/>
      <c r="Z130" s="96">
        <f>SUM(Tableau16[[#This Row],[A-1]:[G-5]])</f>
        <v>0</v>
      </c>
      <c r="AA130" s="96" t="str">
        <f>IF(AND(Z130&gt;0,Tableau16[[#This Row],[CDS]]=""),"Oui","Non")</f>
        <v>Non</v>
      </c>
      <c r="AB130" s="75"/>
      <c r="AC130" s="75"/>
      <c r="AD130" s="75"/>
      <c r="AE130" s="75"/>
      <c r="AF130" s="75"/>
      <c r="AG130" s="75"/>
      <c r="AH130" s="75"/>
      <c r="AI130" s="75"/>
      <c r="AJ130" s="81"/>
      <c r="AK130" s="75"/>
      <c r="AL130" s="75"/>
    </row>
    <row r="131" spans="1:38" ht="15.75" hidden="1" thickBot="1" x14ac:dyDescent="0.3">
      <c r="A131" s="75"/>
      <c r="B131" s="75"/>
      <c r="C131" s="35">
        <f>INDEX(Données!$F$2:$L$54,MATCH(F131,Données!$F$2:$F$54,0),2)</f>
        <v>43969</v>
      </c>
      <c r="D131" s="29" t="str">
        <f t="shared" si="2"/>
        <v>#5</v>
      </c>
      <c r="E131" s="7">
        <f>Données!J22</f>
        <v>43972</v>
      </c>
      <c r="F131" s="6" t="str">
        <f>INDEX(Données!$F$2:$L$54,MATCH('#5'!E131,Données!$G$2:$G$54,1),1)</f>
        <v>21</v>
      </c>
      <c r="G131" s="18" t="str">
        <f t="shared" si="3"/>
        <v/>
      </c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1"/>
      <c r="W131" s="75"/>
      <c r="X131" s="75"/>
      <c r="Y131" s="75"/>
      <c r="Z131" s="96">
        <f>SUM(Tableau16[[#This Row],[A-1]:[G-5]])</f>
        <v>0</v>
      </c>
      <c r="AA131" s="96" t="str">
        <f>IF(AND(Z131&gt;0,Tableau16[[#This Row],[CDS]]=""),"Oui","Non")</f>
        <v>Non</v>
      </c>
      <c r="AB131" s="75"/>
      <c r="AC131" s="75"/>
      <c r="AD131" s="75"/>
      <c r="AE131" s="75"/>
      <c r="AF131" s="75"/>
      <c r="AG131" s="75"/>
      <c r="AH131" s="75"/>
      <c r="AI131" s="75"/>
      <c r="AJ131" s="81"/>
      <c r="AK131" s="75"/>
      <c r="AL131" s="75"/>
    </row>
    <row r="132" spans="1:38" ht="15.75" hidden="1" thickBot="1" x14ac:dyDescent="0.3">
      <c r="A132" s="75"/>
      <c r="B132" s="75"/>
      <c r="C132" s="35">
        <f>INDEX(Données!$F$2:$L$54,MATCH(F132,Données!$F$2:$F$54,0),2)</f>
        <v>43969</v>
      </c>
      <c r="D132" s="29" t="str">
        <f t="shared" si="2"/>
        <v>#5</v>
      </c>
      <c r="E132" s="7">
        <f>Données!K22</f>
        <v>43973</v>
      </c>
      <c r="F132" s="6" t="str">
        <f>INDEX(Données!$F$2:$L$54,MATCH('#5'!E132,Données!$G$2:$G$54,1),1)</f>
        <v>21</v>
      </c>
      <c r="G132" s="18" t="str">
        <f t="shared" si="3"/>
        <v/>
      </c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1"/>
      <c r="W132" s="75"/>
      <c r="X132" s="75"/>
      <c r="Y132" s="75"/>
      <c r="Z132" s="96">
        <f>SUM(Tableau16[[#This Row],[A-1]:[G-5]])</f>
        <v>0</v>
      </c>
      <c r="AA132" s="96" t="str">
        <f>IF(AND(Z132&gt;0,Tableau16[[#This Row],[CDS]]=""),"Oui","Non")</f>
        <v>Non</v>
      </c>
      <c r="AB132" s="75"/>
      <c r="AC132" s="75"/>
      <c r="AD132" s="75"/>
      <c r="AE132" s="75"/>
      <c r="AF132" s="75"/>
      <c r="AG132" s="75"/>
      <c r="AH132" s="75"/>
      <c r="AI132" s="75"/>
      <c r="AJ132" s="81"/>
      <c r="AK132" s="75"/>
      <c r="AL132" s="75"/>
    </row>
    <row r="133" spans="1:38" ht="15.75" hidden="1" thickBot="1" x14ac:dyDescent="0.3">
      <c r="A133" s="75"/>
      <c r="B133" s="75"/>
      <c r="C133" s="35">
        <f>INDEX(Données!$F$2:$L$54,MATCH(F133,Données!$F$2:$F$54,0),2)</f>
        <v>43969</v>
      </c>
      <c r="D133" s="29" t="str">
        <f t="shared" si="2"/>
        <v>#5</v>
      </c>
      <c r="E133" s="7">
        <f>Données!L22</f>
        <v>43974</v>
      </c>
      <c r="F133" s="6" t="str">
        <f>INDEX(Données!$F$2:$L$54,MATCH('#5'!E133,Données!$G$2:$G$54,1),1)</f>
        <v>21</v>
      </c>
      <c r="G133" s="18" t="str">
        <f t="shared" si="3"/>
        <v/>
      </c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1"/>
      <c r="W133" s="75"/>
      <c r="X133" s="75"/>
      <c r="Y133" s="75"/>
      <c r="Z133" s="96">
        <f>SUM(Tableau16[[#This Row],[A-1]:[G-5]])</f>
        <v>0</v>
      </c>
      <c r="AA133" s="96" t="str">
        <f>IF(AND(Z133&gt;0,Tableau16[[#This Row],[CDS]]=""),"Oui","Non")</f>
        <v>Non</v>
      </c>
      <c r="AB133" s="75"/>
      <c r="AC133" s="75"/>
      <c r="AD133" s="75"/>
      <c r="AE133" s="75"/>
      <c r="AF133" s="75"/>
      <c r="AG133" s="75"/>
      <c r="AH133" s="75"/>
      <c r="AI133" s="75"/>
      <c r="AJ133" s="81"/>
      <c r="AK133" s="75"/>
      <c r="AL133" s="75"/>
    </row>
    <row r="134" spans="1:38" ht="15.75" hidden="1" thickBot="1" x14ac:dyDescent="0.3">
      <c r="A134" s="75"/>
      <c r="B134" s="75"/>
      <c r="C134" s="35">
        <f>INDEX(Données!$F$2:$L$54,MATCH(F134,Données!$F$2:$F$54,0),2)</f>
        <v>43976</v>
      </c>
      <c r="D134" s="29" t="str">
        <f t="shared" si="2"/>
        <v>#5</v>
      </c>
      <c r="E134" s="7">
        <f>Données!G23</f>
        <v>43976</v>
      </c>
      <c r="F134" s="6" t="str">
        <f>INDEX(Données!$F$2:$L$54,MATCH('#5'!E134,Données!$G$2:$G$54,1),1)</f>
        <v>22</v>
      </c>
      <c r="G134" s="18" t="str">
        <f t="shared" si="3"/>
        <v/>
      </c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1"/>
      <c r="W134" s="75"/>
      <c r="X134" s="75"/>
      <c r="Y134" s="75"/>
      <c r="Z134" s="96">
        <f>SUM(Tableau16[[#This Row],[A-1]:[G-5]])</f>
        <v>0</v>
      </c>
      <c r="AA134" s="96" t="str">
        <f>IF(AND(Z134&gt;0,Tableau16[[#This Row],[CDS]]=""),"Oui","Non")</f>
        <v>Non</v>
      </c>
      <c r="AB134" s="75"/>
      <c r="AC134" s="75"/>
      <c r="AD134" s="75"/>
      <c r="AE134" s="75"/>
      <c r="AF134" s="75"/>
      <c r="AG134" s="75"/>
      <c r="AH134" s="75"/>
      <c r="AI134" s="75"/>
      <c r="AJ134" s="81"/>
      <c r="AK134" s="75"/>
      <c r="AL134" s="75"/>
    </row>
    <row r="135" spans="1:38" ht="15.75" hidden="1" thickBot="1" x14ac:dyDescent="0.3">
      <c r="A135" s="75"/>
      <c r="B135" s="75"/>
      <c r="C135" s="35">
        <f>INDEX(Données!$F$2:$L$54,MATCH(F135,Données!$F$2:$F$54,0),2)</f>
        <v>43976</v>
      </c>
      <c r="D135" s="29" t="str">
        <f t="shared" si="2"/>
        <v>#5</v>
      </c>
      <c r="E135" s="7">
        <f>Données!H23</f>
        <v>43977</v>
      </c>
      <c r="F135" s="6" t="str">
        <f>INDEX(Données!$F$2:$L$54,MATCH('#5'!E135,Données!$G$2:$G$54,1),1)</f>
        <v>22</v>
      </c>
      <c r="G135" s="18" t="str">
        <f t="shared" si="3"/>
        <v/>
      </c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1"/>
      <c r="W135" s="75"/>
      <c r="X135" s="75"/>
      <c r="Y135" s="75"/>
      <c r="Z135" s="96">
        <f>SUM(Tableau16[[#This Row],[A-1]:[G-5]])</f>
        <v>0</v>
      </c>
      <c r="AA135" s="96" t="str">
        <f>IF(AND(Z135&gt;0,Tableau16[[#This Row],[CDS]]=""),"Oui","Non")</f>
        <v>Non</v>
      </c>
      <c r="AB135" s="75"/>
      <c r="AC135" s="75"/>
      <c r="AD135" s="75"/>
      <c r="AE135" s="75"/>
      <c r="AF135" s="75"/>
      <c r="AG135" s="75"/>
      <c r="AH135" s="75"/>
      <c r="AI135" s="75"/>
      <c r="AJ135" s="81"/>
      <c r="AK135" s="75"/>
      <c r="AL135" s="75"/>
    </row>
    <row r="136" spans="1:38" ht="15.75" hidden="1" thickBot="1" x14ac:dyDescent="0.3">
      <c r="A136" s="75"/>
      <c r="B136" s="75"/>
      <c r="C136" s="35">
        <f>INDEX(Données!$F$2:$L$54,MATCH(F136,Données!$F$2:$F$54,0),2)</f>
        <v>43976</v>
      </c>
      <c r="D136" s="29" t="str">
        <f t="shared" ref="D136:D199" si="4">$E$4</f>
        <v>#5</v>
      </c>
      <c r="E136" s="7">
        <f>Données!I23</f>
        <v>43978</v>
      </c>
      <c r="F136" s="6" t="str">
        <f>INDEX(Données!$F$2:$L$54,MATCH('#5'!E136,Données!$G$2:$G$54,1),1)</f>
        <v>22</v>
      </c>
      <c r="G136" s="18" t="str">
        <f t="shared" ref="G136:G199" si="5">IF(AND($V$5=1),"PS-1",IF(AND($V$5=2),"PS-2",IF(AND($V$5=4),"PS-4",IF(AND($V$5=6),"S.O.",IF(AND($V$5=5),"")))))</f>
        <v/>
      </c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1"/>
      <c r="W136" s="75"/>
      <c r="X136" s="75"/>
      <c r="Y136" s="75"/>
      <c r="Z136" s="96">
        <f>SUM(Tableau16[[#This Row],[A-1]:[G-5]])</f>
        <v>0</v>
      </c>
      <c r="AA136" s="96" t="str">
        <f>IF(AND(Z136&gt;0,Tableau16[[#This Row],[CDS]]=""),"Oui","Non")</f>
        <v>Non</v>
      </c>
      <c r="AB136" s="75"/>
      <c r="AC136" s="75"/>
      <c r="AD136" s="75"/>
      <c r="AE136" s="75"/>
      <c r="AF136" s="75"/>
      <c r="AG136" s="75"/>
      <c r="AH136" s="75"/>
      <c r="AI136" s="75"/>
      <c r="AJ136" s="81"/>
      <c r="AK136" s="75"/>
      <c r="AL136" s="75"/>
    </row>
    <row r="137" spans="1:38" ht="15.75" hidden="1" thickBot="1" x14ac:dyDescent="0.3">
      <c r="A137" s="75"/>
      <c r="B137" s="75"/>
      <c r="C137" s="35">
        <f>INDEX(Données!$F$2:$L$54,MATCH(F137,Données!$F$2:$F$54,0),2)</f>
        <v>43976</v>
      </c>
      <c r="D137" s="29" t="str">
        <f t="shared" si="4"/>
        <v>#5</v>
      </c>
      <c r="E137" s="7">
        <f>Données!J23</f>
        <v>43979</v>
      </c>
      <c r="F137" s="6" t="str">
        <f>INDEX(Données!$F$2:$L$54,MATCH('#5'!E137,Données!$G$2:$G$54,1),1)</f>
        <v>22</v>
      </c>
      <c r="G137" s="18" t="str">
        <f t="shared" si="5"/>
        <v/>
      </c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1"/>
      <c r="W137" s="75"/>
      <c r="X137" s="75"/>
      <c r="Y137" s="75"/>
      <c r="Z137" s="96">
        <f>SUM(Tableau16[[#This Row],[A-1]:[G-5]])</f>
        <v>0</v>
      </c>
      <c r="AA137" s="96" t="str">
        <f>IF(AND(Z137&gt;0,Tableau16[[#This Row],[CDS]]=""),"Oui","Non")</f>
        <v>Non</v>
      </c>
      <c r="AB137" s="75"/>
      <c r="AC137" s="75"/>
      <c r="AD137" s="75"/>
      <c r="AE137" s="75"/>
      <c r="AF137" s="75"/>
      <c r="AG137" s="75"/>
      <c r="AH137" s="75"/>
      <c r="AI137" s="75"/>
      <c r="AJ137" s="81"/>
      <c r="AK137" s="75"/>
      <c r="AL137" s="75"/>
    </row>
    <row r="138" spans="1:38" ht="15.75" hidden="1" thickBot="1" x14ac:dyDescent="0.3">
      <c r="A138" s="75"/>
      <c r="B138" s="75"/>
      <c r="C138" s="35">
        <f>INDEX(Données!$F$2:$L$54,MATCH(F138,Données!$F$2:$F$54,0),2)</f>
        <v>43976</v>
      </c>
      <c r="D138" s="29" t="str">
        <f t="shared" si="4"/>
        <v>#5</v>
      </c>
      <c r="E138" s="7">
        <f>Données!K23</f>
        <v>43980</v>
      </c>
      <c r="F138" s="6" t="str">
        <f>INDEX(Données!$F$2:$L$54,MATCH('#5'!E138,Données!$G$2:$G$54,1),1)</f>
        <v>22</v>
      </c>
      <c r="G138" s="18" t="str">
        <f t="shared" si="5"/>
        <v/>
      </c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1"/>
      <c r="W138" s="75"/>
      <c r="X138" s="75"/>
      <c r="Y138" s="75"/>
      <c r="Z138" s="96">
        <f>SUM(Tableau16[[#This Row],[A-1]:[G-5]])</f>
        <v>0</v>
      </c>
      <c r="AA138" s="96" t="str">
        <f>IF(AND(Z138&gt;0,Tableau16[[#This Row],[CDS]]=""),"Oui","Non")</f>
        <v>Non</v>
      </c>
      <c r="AB138" s="75"/>
      <c r="AC138" s="75"/>
      <c r="AD138" s="75"/>
      <c r="AE138" s="75"/>
      <c r="AF138" s="75"/>
      <c r="AG138" s="75"/>
      <c r="AH138" s="75"/>
      <c r="AI138" s="75"/>
      <c r="AJ138" s="81"/>
      <c r="AK138" s="75"/>
      <c r="AL138" s="75"/>
    </row>
    <row r="139" spans="1:38" ht="15.75" hidden="1" thickBot="1" x14ac:dyDescent="0.3">
      <c r="A139" s="75"/>
      <c r="B139" s="75"/>
      <c r="C139" s="35">
        <f>INDEX(Données!$F$2:$L$54,MATCH(F139,Données!$F$2:$F$54,0),2)</f>
        <v>43976</v>
      </c>
      <c r="D139" s="29" t="str">
        <f t="shared" si="4"/>
        <v>#5</v>
      </c>
      <c r="E139" s="7">
        <f>Données!L23</f>
        <v>43981</v>
      </c>
      <c r="F139" s="6" t="str">
        <f>INDEX(Données!$F$2:$L$54,MATCH('#5'!E139,Données!$G$2:$G$54,1),1)</f>
        <v>22</v>
      </c>
      <c r="G139" s="18" t="str">
        <f t="shared" si="5"/>
        <v/>
      </c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1"/>
      <c r="W139" s="75"/>
      <c r="X139" s="75"/>
      <c r="Y139" s="75"/>
      <c r="Z139" s="96">
        <f>SUM(Tableau16[[#This Row],[A-1]:[G-5]])</f>
        <v>0</v>
      </c>
      <c r="AA139" s="96" t="str">
        <f>IF(AND(Z139&gt;0,Tableau16[[#This Row],[CDS]]=""),"Oui","Non")</f>
        <v>Non</v>
      </c>
      <c r="AB139" s="75"/>
      <c r="AC139" s="75"/>
      <c r="AD139" s="75"/>
      <c r="AE139" s="75"/>
      <c r="AF139" s="75"/>
      <c r="AG139" s="75"/>
      <c r="AH139" s="75"/>
      <c r="AI139" s="75"/>
      <c r="AJ139" s="81"/>
      <c r="AK139" s="75"/>
      <c r="AL139" s="75"/>
    </row>
    <row r="140" spans="1:38" ht="15.75" hidden="1" thickBot="1" x14ac:dyDescent="0.3">
      <c r="A140" s="75"/>
      <c r="B140" s="75"/>
      <c r="C140" s="35">
        <f>INDEX(Données!$F$2:$L$54,MATCH(F140,Données!$F$2:$F$54,0),2)</f>
        <v>43983</v>
      </c>
      <c r="D140" s="29" t="str">
        <f t="shared" si="4"/>
        <v>#5</v>
      </c>
      <c r="E140" s="7">
        <f>Données!G24</f>
        <v>43983</v>
      </c>
      <c r="F140" s="6" t="str">
        <f>INDEX(Données!$F$2:$L$54,MATCH('#5'!E140,Données!$G$2:$G$54,1),1)</f>
        <v>23</v>
      </c>
      <c r="G140" s="18" t="str">
        <f t="shared" si="5"/>
        <v/>
      </c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1"/>
      <c r="W140" s="75"/>
      <c r="X140" s="75"/>
      <c r="Y140" s="75"/>
      <c r="Z140" s="96">
        <f>SUM(Tableau16[[#This Row],[A-1]:[G-5]])</f>
        <v>0</v>
      </c>
      <c r="AA140" s="96" t="str">
        <f>IF(AND(Z140&gt;0,Tableau16[[#This Row],[CDS]]=""),"Oui","Non")</f>
        <v>Non</v>
      </c>
      <c r="AB140" s="75"/>
      <c r="AC140" s="75"/>
      <c r="AD140" s="75"/>
      <c r="AE140" s="75"/>
      <c r="AF140" s="75"/>
      <c r="AG140" s="75"/>
      <c r="AH140" s="75"/>
      <c r="AI140" s="75"/>
      <c r="AJ140" s="81"/>
      <c r="AK140" s="75"/>
      <c r="AL140" s="75"/>
    </row>
    <row r="141" spans="1:38" ht="15.75" hidden="1" thickBot="1" x14ac:dyDescent="0.3">
      <c r="A141" s="75"/>
      <c r="B141" s="75"/>
      <c r="C141" s="35">
        <f>INDEX(Données!$F$2:$L$54,MATCH(F141,Données!$F$2:$F$54,0),2)</f>
        <v>43983</v>
      </c>
      <c r="D141" s="29" t="str">
        <f t="shared" si="4"/>
        <v>#5</v>
      </c>
      <c r="E141" s="7">
        <f>Données!H24</f>
        <v>43984</v>
      </c>
      <c r="F141" s="6" t="str">
        <f>INDEX(Données!$F$2:$L$54,MATCH('#5'!E141,Données!$G$2:$G$54,1),1)</f>
        <v>23</v>
      </c>
      <c r="G141" s="18" t="str">
        <f t="shared" si="5"/>
        <v/>
      </c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1"/>
      <c r="W141" s="75"/>
      <c r="X141" s="75"/>
      <c r="Y141" s="75"/>
      <c r="Z141" s="96">
        <f>SUM(Tableau16[[#This Row],[A-1]:[G-5]])</f>
        <v>0</v>
      </c>
      <c r="AA141" s="96" t="str">
        <f>IF(AND(Z141&gt;0,Tableau16[[#This Row],[CDS]]=""),"Oui","Non")</f>
        <v>Non</v>
      </c>
      <c r="AB141" s="75"/>
      <c r="AC141" s="75"/>
      <c r="AD141" s="75"/>
      <c r="AE141" s="75"/>
      <c r="AF141" s="75"/>
      <c r="AG141" s="75"/>
      <c r="AH141" s="75"/>
      <c r="AI141" s="75"/>
      <c r="AJ141" s="81"/>
      <c r="AK141" s="75"/>
      <c r="AL141" s="75"/>
    </row>
    <row r="142" spans="1:38" ht="15.75" hidden="1" thickBot="1" x14ac:dyDescent="0.3">
      <c r="A142" s="75"/>
      <c r="B142" s="75"/>
      <c r="C142" s="35">
        <f>INDEX(Données!$F$2:$L$54,MATCH(F142,Données!$F$2:$F$54,0),2)</f>
        <v>43983</v>
      </c>
      <c r="D142" s="29" t="str">
        <f t="shared" si="4"/>
        <v>#5</v>
      </c>
      <c r="E142" s="7">
        <f>Données!I24</f>
        <v>43985</v>
      </c>
      <c r="F142" s="6" t="str">
        <f>INDEX(Données!$F$2:$L$54,MATCH('#5'!E142,Données!$G$2:$G$54,1),1)</f>
        <v>23</v>
      </c>
      <c r="G142" s="18" t="str">
        <f t="shared" si="5"/>
        <v/>
      </c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1"/>
      <c r="W142" s="75"/>
      <c r="X142" s="75"/>
      <c r="Y142" s="75"/>
      <c r="Z142" s="96">
        <f>SUM(Tableau16[[#This Row],[A-1]:[G-5]])</f>
        <v>0</v>
      </c>
      <c r="AA142" s="96" t="str">
        <f>IF(AND(Z142&gt;0,Tableau16[[#This Row],[CDS]]=""),"Oui","Non")</f>
        <v>Non</v>
      </c>
      <c r="AB142" s="75"/>
      <c r="AC142" s="75"/>
      <c r="AD142" s="75"/>
      <c r="AE142" s="75"/>
      <c r="AF142" s="75"/>
      <c r="AG142" s="75"/>
      <c r="AH142" s="75"/>
      <c r="AI142" s="75"/>
      <c r="AJ142" s="81"/>
      <c r="AK142" s="75"/>
      <c r="AL142" s="75"/>
    </row>
    <row r="143" spans="1:38" ht="15.75" hidden="1" thickBot="1" x14ac:dyDescent="0.3">
      <c r="A143" s="75"/>
      <c r="B143" s="75"/>
      <c r="C143" s="35">
        <f>INDEX(Données!$F$2:$L$54,MATCH(F143,Données!$F$2:$F$54,0),2)</f>
        <v>43983</v>
      </c>
      <c r="D143" s="29" t="str">
        <f t="shared" si="4"/>
        <v>#5</v>
      </c>
      <c r="E143" s="7">
        <f>Données!J24</f>
        <v>43986</v>
      </c>
      <c r="F143" s="6" t="str">
        <f>INDEX(Données!$F$2:$L$54,MATCH('#5'!E143,Données!$G$2:$G$54,1),1)</f>
        <v>23</v>
      </c>
      <c r="G143" s="18" t="str">
        <f t="shared" si="5"/>
        <v/>
      </c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1"/>
      <c r="W143" s="75"/>
      <c r="X143" s="75"/>
      <c r="Y143" s="75"/>
      <c r="Z143" s="96">
        <f>SUM(Tableau16[[#This Row],[A-1]:[G-5]])</f>
        <v>0</v>
      </c>
      <c r="AA143" s="96" t="str">
        <f>IF(AND(Z143&gt;0,Tableau16[[#This Row],[CDS]]=""),"Oui","Non")</f>
        <v>Non</v>
      </c>
      <c r="AB143" s="75"/>
      <c r="AC143" s="75"/>
      <c r="AD143" s="75"/>
      <c r="AE143" s="75"/>
      <c r="AF143" s="75"/>
      <c r="AG143" s="75"/>
      <c r="AH143" s="75"/>
      <c r="AI143" s="75"/>
      <c r="AJ143" s="81"/>
      <c r="AK143" s="75"/>
      <c r="AL143" s="75"/>
    </row>
    <row r="144" spans="1:38" ht="15.75" hidden="1" thickBot="1" x14ac:dyDescent="0.3">
      <c r="A144" s="75"/>
      <c r="B144" s="75"/>
      <c r="C144" s="35">
        <f>INDEX(Données!$F$2:$L$54,MATCH(F144,Données!$F$2:$F$54,0),2)</f>
        <v>43983</v>
      </c>
      <c r="D144" s="29" t="str">
        <f t="shared" si="4"/>
        <v>#5</v>
      </c>
      <c r="E144" s="7">
        <f>Données!K24</f>
        <v>43987</v>
      </c>
      <c r="F144" s="6" t="str">
        <f>INDEX(Données!$F$2:$L$54,MATCH('#5'!E144,Données!$G$2:$G$54,1),1)</f>
        <v>23</v>
      </c>
      <c r="G144" s="18" t="str">
        <f t="shared" si="5"/>
        <v/>
      </c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1"/>
      <c r="W144" s="75"/>
      <c r="X144" s="75"/>
      <c r="Y144" s="75"/>
      <c r="Z144" s="96">
        <f>SUM(Tableau16[[#This Row],[A-1]:[G-5]])</f>
        <v>0</v>
      </c>
      <c r="AA144" s="96" t="str">
        <f>IF(AND(Z144&gt;0,Tableau16[[#This Row],[CDS]]=""),"Oui","Non")</f>
        <v>Non</v>
      </c>
      <c r="AB144" s="75"/>
      <c r="AC144" s="75"/>
      <c r="AD144" s="75"/>
      <c r="AE144" s="75"/>
      <c r="AF144" s="75"/>
      <c r="AG144" s="75"/>
      <c r="AH144" s="75"/>
      <c r="AI144" s="75"/>
      <c r="AJ144" s="81"/>
      <c r="AK144" s="75"/>
      <c r="AL144" s="75"/>
    </row>
    <row r="145" spans="1:38" ht="15.75" hidden="1" thickBot="1" x14ac:dyDescent="0.3">
      <c r="A145" s="75"/>
      <c r="B145" s="75"/>
      <c r="C145" s="35">
        <f>INDEX(Données!$F$2:$L$54,MATCH(F145,Données!$F$2:$F$54,0),2)</f>
        <v>43983</v>
      </c>
      <c r="D145" s="29" t="str">
        <f t="shared" si="4"/>
        <v>#5</v>
      </c>
      <c r="E145" s="7">
        <f>Données!L24</f>
        <v>43988</v>
      </c>
      <c r="F145" s="6" t="str">
        <f>INDEX(Données!$F$2:$L$54,MATCH('#5'!E145,Données!$G$2:$G$54,1),1)</f>
        <v>23</v>
      </c>
      <c r="G145" s="18" t="str">
        <f t="shared" si="5"/>
        <v/>
      </c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1"/>
      <c r="W145" s="75"/>
      <c r="X145" s="75"/>
      <c r="Y145" s="75"/>
      <c r="Z145" s="96">
        <f>SUM(Tableau16[[#This Row],[A-1]:[G-5]])</f>
        <v>0</v>
      </c>
      <c r="AA145" s="96" t="str">
        <f>IF(AND(Z145&gt;0,Tableau16[[#This Row],[CDS]]=""),"Oui","Non")</f>
        <v>Non</v>
      </c>
      <c r="AB145" s="75"/>
      <c r="AC145" s="75"/>
      <c r="AD145" s="75"/>
      <c r="AE145" s="75"/>
      <c r="AF145" s="75"/>
      <c r="AG145" s="75"/>
      <c r="AH145" s="75"/>
      <c r="AI145" s="75"/>
      <c r="AJ145" s="81"/>
      <c r="AK145" s="75"/>
      <c r="AL145" s="75"/>
    </row>
    <row r="146" spans="1:38" ht="15.75" hidden="1" thickBot="1" x14ac:dyDescent="0.3">
      <c r="A146" s="75"/>
      <c r="B146" s="75"/>
      <c r="C146" s="35">
        <f>INDEX(Données!$F$2:$L$54,MATCH(F146,Données!$F$2:$F$54,0),2)</f>
        <v>43990</v>
      </c>
      <c r="D146" s="29" t="str">
        <f t="shared" si="4"/>
        <v>#5</v>
      </c>
      <c r="E146" s="7">
        <f>Données!G25</f>
        <v>43990</v>
      </c>
      <c r="F146" s="6" t="str">
        <f>INDEX(Données!$F$2:$L$54,MATCH('#5'!E146,Données!$G$2:$G$54,1),1)</f>
        <v>24</v>
      </c>
      <c r="G146" s="18" t="str">
        <f t="shared" si="5"/>
        <v/>
      </c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1"/>
      <c r="W146" s="75"/>
      <c r="X146" s="75"/>
      <c r="Y146" s="75"/>
      <c r="Z146" s="96">
        <f>SUM(Tableau16[[#This Row],[A-1]:[G-5]])</f>
        <v>0</v>
      </c>
      <c r="AA146" s="96" t="str">
        <f>IF(AND(Z146&gt;0,Tableau16[[#This Row],[CDS]]=""),"Oui","Non")</f>
        <v>Non</v>
      </c>
      <c r="AB146" s="75"/>
      <c r="AC146" s="75"/>
      <c r="AD146" s="75"/>
      <c r="AE146" s="75"/>
      <c r="AF146" s="75"/>
      <c r="AG146" s="75"/>
      <c r="AH146" s="75"/>
      <c r="AI146" s="75"/>
      <c r="AJ146" s="81"/>
      <c r="AK146" s="75"/>
      <c r="AL146" s="75"/>
    </row>
    <row r="147" spans="1:38" ht="15.75" hidden="1" thickBot="1" x14ac:dyDescent="0.3">
      <c r="A147" s="75"/>
      <c r="B147" s="75"/>
      <c r="C147" s="35">
        <f>INDEX(Données!$F$2:$L$54,MATCH(F147,Données!$F$2:$F$54,0),2)</f>
        <v>43990</v>
      </c>
      <c r="D147" s="29" t="str">
        <f t="shared" si="4"/>
        <v>#5</v>
      </c>
      <c r="E147" s="7">
        <f>Données!H25</f>
        <v>43991</v>
      </c>
      <c r="F147" s="6" t="str">
        <f>INDEX(Données!$F$2:$L$54,MATCH('#5'!E147,Données!$G$2:$G$54,1),1)</f>
        <v>24</v>
      </c>
      <c r="G147" s="18" t="str">
        <f t="shared" si="5"/>
        <v/>
      </c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1"/>
      <c r="W147" s="75"/>
      <c r="X147" s="75"/>
      <c r="Y147" s="75"/>
      <c r="Z147" s="96">
        <f>SUM(Tableau16[[#This Row],[A-1]:[G-5]])</f>
        <v>0</v>
      </c>
      <c r="AA147" s="96" t="str">
        <f>IF(AND(Z147&gt;0,Tableau16[[#This Row],[CDS]]=""),"Oui","Non")</f>
        <v>Non</v>
      </c>
      <c r="AB147" s="75"/>
      <c r="AC147" s="75"/>
      <c r="AD147" s="75"/>
      <c r="AE147" s="75"/>
      <c r="AF147" s="75"/>
      <c r="AG147" s="75"/>
      <c r="AH147" s="75"/>
      <c r="AI147" s="75"/>
      <c r="AJ147" s="81"/>
      <c r="AK147" s="75"/>
      <c r="AL147" s="75"/>
    </row>
    <row r="148" spans="1:38" ht="15.75" hidden="1" thickBot="1" x14ac:dyDescent="0.3">
      <c r="A148" s="75"/>
      <c r="B148" s="75"/>
      <c r="C148" s="35">
        <f>INDEX(Données!$F$2:$L$54,MATCH(F148,Données!$F$2:$F$54,0),2)</f>
        <v>43990</v>
      </c>
      <c r="D148" s="29" t="str">
        <f t="shared" si="4"/>
        <v>#5</v>
      </c>
      <c r="E148" s="7">
        <f>Données!I25</f>
        <v>43992</v>
      </c>
      <c r="F148" s="6" t="str">
        <f>INDEX(Données!$F$2:$L$54,MATCH('#5'!E148,Données!$G$2:$G$54,1),1)</f>
        <v>24</v>
      </c>
      <c r="G148" s="18" t="str">
        <f t="shared" si="5"/>
        <v/>
      </c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1"/>
      <c r="W148" s="75"/>
      <c r="X148" s="75"/>
      <c r="Y148" s="75"/>
      <c r="Z148" s="96">
        <f>SUM(Tableau16[[#This Row],[A-1]:[G-5]])</f>
        <v>0</v>
      </c>
      <c r="AA148" s="96" t="str">
        <f>IF(AND(Z148&gt;0,Tableau16[[#This Row],[CDS]]=""),"Oui","Non")</f>
        <v>Non</v>
      </c>
      <c r="AB148" s="75"/>
      <c r="AC148" s="75"/>
      <c r="AD148" s="75"/>
      <c r="AE148" s="75"/>
      <c r="AF148" s="75"/>
      <c r="AG148" s="75"/>
      <c r="AH148" s="75"/>
      <c r="AI148" s="75"/>
      <c r="AJ148" s="81"/>
      <c r="AK148" s="75"/>
      <c r="AL148" s="75"/>
    </row>
    <row r="149" spans="1:38" ht="15.75" hidden="1" thickBot="1" x14ac:dyDescent="0.3">
      <c r="A149" s="75"/>
      <c r="B149" s="75"/>
      <c r="C149" s="35">
        <f>INDEX(Données!$F$2:$L$54,MATCH(F149,Données!$F$2:$F$54,0),2)</f>
        <v>43990</v>
      </c>
      <c r="D149" s="29" t="str">
        <f t="shared" si="4"/>
        <v>#5</v>
      </c>
      <c r="E149" s="7">
        <f>Données!J25</f>
        <v>43993</v>
      </c>
      <c r="F149" s="6" t="str">
        <f>INDEX(Données!$F$2:$L$54,MATCH('#5'!E149,Données!$G$2:$G$54,1),1)</f>
        <v>24</v>
      </c>
      <c r="G149" s="18" t="str">
        <f t="shared" si="5"/>
        <v/>
      </c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1"/>
      <c r="W149" s="75"/>
      <c r="X149" s="75"/>
      <c r="Y149" s="75"/>
      <c r="Z149" s="96">
        <f>SUM(Tableau16[[#This Row],[A-1]:[G-5]])</f>
        <v>0</v>
      </c>
      <c r="AA149" s="96" t="str">
        <f>IF(AND(Z149&gt;0,Tableau16[[#This Row],[CDS]]=""),"Oui","Non")</f>
        <v>Non</v>
      </c>
      <c r="AB149" s="75"/>
      <c r="AC149" s="75"/>
      <c r="AD149" s="75"/>
      <c r="AE149" s="75"/>
      <c r="AF149" s="75"/>
      <c r="AG149" s="75"/>
      <c r="AH149" s="75"/>
      <c r="AI149" s="75"/>
      <c r="AJ149" s="81"/>
      <c r="AK149" s="75"/>
      <c r="AL149" s="75"/>
    </row>
    <row r="150" spans="1:38" ht="15.75" hidden="1" thickBot="1" x14ac:dyDescent="0.3">
      <c r="A150" s="75"/>
      <c r="B150" s="75"/>
      <c r="C150" s="35">
        <f>INDEX(Données!$F$2:$L$54,MATCH(F150,Données!$F$2:$F$54,0),2)</f>
        <v>43990</v>
      </c>
      <c r="D150" s="29" t="str">
        <f t="shared" si="4"/>
        <v>#5</v>
      </c>
      <c r="E150" s="7">
        <f>Données!K25</f>
        <v>43994</v>
      </c>
      <c r="F150" s="6" t="str">
        <f>INDEX(Données!$F$2:$L$54,MATCH('#5'!E150,Données!$G$2:$G$54,1),1)</f>
        <v>24</v>
      </c>
      <c r="G150" s="18" t="str">
        <f t="shared" si="5"/>
        <v/>
      </c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1"/>
      <c r="W150" s="75"/>
      <c r="X150" s="75"/>
      <c r="Y150" s="75"/>
      <c r="Z150" s="96">
        <f>SUM(Tableau16[[#This Row],[A-1]:[G-5]])</f>
        <v>0</v>
      </c>
      <c r="AA150" s="96" t="str">
        <f>IF(AND(Z150&gt;0,Tableau16[[#This Row],[CDS]]=""),"Oui","Non")</f>
        <v>Non</v>
      </c>
      <c r="AB150" s="75"/>
      <c r="AC150" s="75"/>
      <c r="AD150" s="75"/>
      <c r="AE150" s="75"/>
      <c r="AF150" s="75"/>
      <c r="AG150" s="75"/>
      <c r="AH150" s="75"/>
      <c r="AI150" s="75"/>
      <c r="AJ150" s="81"/>
      <c r="AK150" s="75"/>
      <c r="AL150" s="75"/>
    </row>
    <row r="151" spans="1:38" ht="15.75" hidden="1" thickBot="1" x14ac:dyDescent="0.3">
      <c r="A151" s="75"/>
      <c r="B151" s="75"/>
      <c r="C151" s="35">
        <f>INDEX(Données!$F$2:$L$54,MATCH(F151,Données!$F$2:$F$54,0),2)</f>
        <v>43990</v>
      </c>
      <c r="D151" s="29" t="str">
        <f t="shared" si="4"/>
        <v>#5</v>
      </c>
      <c r="E151" s="7">
        <f>Données!L25</f>
        <v>43995</v>
      </c>
      <c r="F151" s="6" t="str">
        <f>INDEX(Données!$F$2:$L$54,MATCH('#5'!E151,Données!$G$2:$G$54,1),1)</f>
        <v>24</v>
      </c>
      <c r="G151" s="18" t="str">
        <f t="shared" si="5"/>
        <v/>
      </c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1"/>
      <c r="W151" s="75"/>
      <c r="X151" s="75"/>
      <c r="Y151" s="75"/>
      <c r="Z151" s="96">
        <f>SUM(Tableau16[[#This Row],[A-1]:[G-5]])</f>
        <v>0</v>
      </c>
      <c r="AA151" s="96" t="str">
        <f>IF(AND(Z151&gt;0,Tableau16[[#This Row],[CDS]]=""),"Oui","Non")</f>
        <v>Non</v>
      </c>
      <c r="AB151" s="75"/>
      <c r="AC151" s="75"/>
      <c r="AD151" s="75"/>
      <c r="AE151" s="75"/>
      <c r="AF151" s="75"/>
      <c r="AG151" s="75"/>
      <c r="AH151" s="75"/>
      <c r="AI151" s="75"/>
      <c r="AJ151" s="81"/>
      <c r="AK151" s="75"/>
      <c r="AL151" s="75"/>
    </row>
    <row r="152" spans="1:38" ht="15.75" hidden="1" thickBot="1" x14ac:dyDescent="0.3">
      <c r="A152" s="75"/>
      <c r="B152" s="75"/>
      <c r="C152" s="35">
        <f>INDEX(Données!$F$2:$L$54,MATCH(F152,Données!$F$2:$F$54,0),2)</f>
        <v>43997</v>
      </c>
      <c r="D152" s="29" t="str">
        <f t="shared" si="4"/>
        <v>#5</v>
      </c>
      <c r="E152" s="7">
        <f>Données!G26</f>
        <v>43997</v>
      </c>
      <c r="F152" s="6" t="str">
        <f>INDEX(Données!$F$2:$L$54,MATCH('#5'!E152,Données!$G$2:$G$54,1),1)</f>
        <v>25</v>
      </c>
      <c r="G152" s="18" t="str">
        <f t="shared" si="5"/>
        <v/>
      </c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1"/>
      <c r="W152" s="75"/>
      <c r="X152" s="75"/>
      <c r="Y152" s="75"/>
      <c r="Z152" s="96">
        <f>SUM(Tableau16[[#This Row],[A-1]:[G-5]])</f>
        <v>0</v>
      </c>
      <c r="AA152" s="96" t="str">
        <f>IF(AND(Z152&gt;0,Tableau16[[#This Row],[CDS]]=""),"Oui","Non")</f>
        <v>Non</v>
      </c>
      <c r="AB152" s="75"/>
      <c r="AC152" s="75"/>
      <c r="AD152" s="75"/>
      <c r="AE152" s="75"/>
      <c r="AF152" s="75"/>
      <c r="AG152" s="75"/>
      <c r="AH152" s="75"/>
      <c r="AI152" s="75"/>
      <c r="AJ152" s="81"/>
      <c r="AK152" s="75"/>
      <c r="AL152" s="75"/>
    </row>
    <row r="153" spans="1:38" ht="15.75" hidden="1" thickBot="1" x14ac:dyDescent="0.3">
      <c r="A153" s="75"/>
      <c r="B153" s="75"/>
      <c r="C153" s="35">
        <f>INDEX(Données!$F$2:$L$54,MATCH(F153,Données!$F$2:$F$54,0),2)</f>
        <v>43997</v>
      </c>
      <c r="D153" s="29" t="str">
        <f t="shared" si="4"/>
        <v>#5</v>
      </c>
      <c r="E153" s="7">
        <f>Données!H26</f>
        <v>43998</v>
      </c>
      <c r="F153" s="6" t="str">
        <f>INDEX(Données!$F$2:$L$54,MATCH('#5'!E153,Données!$G$2:$G$54,1),1)</f>
        <v>25</v>
      </c>
      <c r="G153" s="18" t="str">
        <f t="shared" si="5"/>
        <v/>
      </c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1"/>
      <c r="W153" s="75"/>
      <c r="X153" s="75"/>
      <c r="Y153" s="75"/>
      <c r="Z153" s="96">
        <f>SUM(Tableau16[[#This Row],[A-1]:[G-5]])</f>
        <v>0</v>
      </c>
      <c r="AA153" s="96" t="str">
        <f>IF(AND(Z153&gt;0,Tableau16[[#This Row],[CDS]]=""),"Oui","Non")</f>
        <v>Non</v>
      </c>
      <c r="AB153" s="75"/>
      <c r="AC153" s="75"/>
      <c r="AD153" s="75"/>
      <c r="AE153" s="75"/>
      <c r="AF153" s="75"/>
      <c r="AG153" s="75"/>
      <c r="AH153" s="75"/>
      <c r="AI153" s="75"/>
      <c r="AJ153" s="81"/>
      <c r="AK153" s="75"/>
      <c r="AL153" s="75"/>
    </row>
    <row r="154" spans="1:38" ht="15.75" hidden="1" thickBot="1" x14ac:dyDescent="0.3">
      <c r="A154" s="75"/>
      <c r="B154" s="75"/>
      <c r="C154" s="35">
        <f>INDEX(Données!$F$2:$L$54,MATCH(F154,Données!$F$2:$F$54,0),2)</f>
        <v>43997</v>
      </c>
      <c r="D154" s="29" t="str">
        <f t="shared" si="4"/>
        <v>#5</v>
      </c>
      <c r="E154" s="7">
        <f>Données!I26</f>
        <v>43999</v>
      </c>
      <c r="F154" s="6" t="str">
        <f>INDEX(Données!$F$2:$L$54,MATCH('#5'!E154,Données!$G$2:$G$54,1),1)</f>
        <v>25</v>
      </c>
      <c r="G154" s="18" t="str">
        <f t="shared" si="5"/>
        <v/>
      </c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1"/>
      <c r="W154" s="75"/>
      <c r="X154" s="75"/>
      <c r="Y154" s="75"/>
      <c r="Z154" s="96">
        <f>SUM(Tableau16[[#This Row],[A-1]:[G-5]])</f>
        <v>0</v>
      </c>
      <c r="AA154" s="96" t="str">
        <f>IF(AND(Z154&gt;0,Tableau16[[#This Row],[CDS]]=""),"Oui","Non")</f>
        <v>Non</v>
      </c>
      <c r="AB154" s="75"/>
      <c r="AC154" s="75"/>
      <c r="AD154" s="75"/>
      <c r="AE154" s="75"/>
      <c r="AF154" s="75"/>
      <c r="AG154" s="75"/>
      <c r="AH154" s="75"/>
      <c r="AI154" s="75"/>
      <c r="AJ154" s="81"/>
      <c r="AK154" s="75"/>
      <c r="AL154" s="75"/>
    </row>
    <row r="155" spans="1:38" ht="15.75" hidden="1" thickBot="1" x14ac:dyDescent="0.3">
      <c r="A155" s="75"/>
      <c r="B155" s="75"/>
      <c r="C155" s="35">
        <f>INDEX(Données!$F$2:$L$54,MATCH(F155,Données!$F$2:$F$54,0),2)</f>
        <v>43997</v>
      </c>
      <c r="D155" s="29" t="str">
        <f t="shared" si="4"/>
        <v>#5</v>
      </c>
      <c r="E155" s="7">
        <f>Données!J26</f>
        <v>44000</v>
      </c>
      <c r="F155" s="6" t="str">
        <f>INDEX(Données!$F$2:$L$54,MATCH('#5'!E155,Données!$G$2:$G$54,1),1)</f>
        <v>25</v>
      </c>
      <c r="G155" s="18" t="str">
        <f t="shared" si="5"/>
        <v/>
      </c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1"/>
      <c r="W155" s="75"/>
      <c r="X155" s="75"/>
      <c r="Y155" s="75"/>
      <c r="Z155" s="96">
        <f>SUM(Tableau16[[#This Row],[A-1]:[G-5]])</f>
        <v>0</v>
      </c>
      <c r="AA155" s="96" t="str">
        <f>IF(AND(Z155&gt;0,Tableau16[[#This Row],[CDS]]=""),"Oui","Non")</f>
        <v>Non</v>
      </c>
      <c r="AB155" s="75"/>
      <c r="AC155" s="75"/>
      <c r="AD155" s="75"/>
      <c r="AE155" s="75"/>
      <c r="AF155" s="75"/>
      <c r="AG155" s="75"/>
      <c r="AH155" s="75"/>
      <c r="AI155" s="75"/>
      <c r="AJ155" s="81"/>
      <c r="AK155" s="75"/>
      <c r="AL155" s="75"/>
    </row>
    <row r="156" spans="1:38" ht="15.75" hidden="1" thickBot="1" x14ac:dyDescent="0.3">
      <c r="A156" s="75"/>
      <c r="B156" s="75"/>
      <c r="C156" s="35">
        <f>INDEX(Données!$F$2:$L$54,MATCH(F156,Données!$F$2:$F$54,0),2)</f>
        <v>43997</v>
      </c>
      <c r="D156" s="29" t="str">
        <f t="shared" si="4"/>
        <v>#5</v>
      </c>
      <c r="E156" s="7">
        <f>Données!K26</f>
        <v>44001</v>
      </c>
      <c r="F156" s="6" t="str">
        <f>INDEX(Données!$F$2:$L$54,MATCH('#5'!E156,Données!$G$2:$G$54,1),1)</f>
        <v>25</v>
      </c>
      <c r="G156" s="18" t="str">
        <f t="shared" si="5"/>
        <v/>
      </c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1"/>
      <c r="W156" s="75"/>
      <c r="X156" s="75"/>
      <c r="Y156" s="75"/>
      <c r="Z156" s="96">
        <f>SUM(Tableau16[[#This Row],[A-1]:[G-5]])</f>
        <v>0</v>
      </c>
      <c r="AA156" s="96" t="str">
        <f>IF(AND(Z156&gt;0,Tableau16[[#This Row],[CDS]]=""),"Oui","Non")</f>
        <v>Non</v>
      </c>
      <c r="AB156" s="75"/>
      <c r="AC156" s="75"/>
      <c r="AD156" s="75"/>
      <c r="AE156" s="75"/>
      <c r="AF156" s="75"/>
      <c r="AG156" s="75"/>
      <c r="AH156" s="75"/>
      <c r="AI156" s="75"/>
      <c r="AJ156" s="81"/>
      <c r="AK156" s="75"/>
      <c r="AL156" s="75"/>
    </row>
    <row r="157" spans="1:38" ht="15.75" hidden="1" thickBot="1" x14ac:dyDescent="0.3">
      <c r="A157" s="75"/>
      <c r="B157" s="75"/>
      <c r="C157" s="35">
        <f>INDEX(Données!$F$2:$L$54,MATCH(F157,Données!$F$2:$F$54,0),2)</f>
        <v>43997</v>
      </c>
      <c r="D157" s="29" t="str">
        <f t="shared" si="4"/>
        <v>#5</v>
      </c>
      <c r="E157" s="7">
        <f>Données!L26</f>
        <v>44002</v>
      </c>
      <c r="F157" s="6" t="str">
        <f>INDEX(Données!$F$2:$L$54,MATCH('#5'!E157,Données!$G$2:$G$54,1),1)</f>
        <v>25</v>
      </c>
      <c r="G157" s="18" t="str">
        <f t="shared" si="5"/>
        <v/>
      </c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1"/>
      <c r="W157" s="75"/>
      <c r="X157" s="75"/>
      <c r="Y157" s="75"/>
      <c r="Z157" s="96">
        <f>SUM(Tableau16[[#This Row],[A-1]:[G-5]])</f>
        <v>0</v>
      </c>
      <c r="AA157" s="96" t="str">
        <f>IF(AND(Z157&gt;0,Tableau16[[#This Row],[CDS]]=""),"Oui","Non")</f>
        <v>Non</v>
      </c>
      <c r="AB157" s="75"/>
      <c r="AC157" s="75"/>
      <c r="AD157" s="75"/>
      <c r="AE157" s="75"/>
      <c r="AF157" s="75"/>
      <c r="AG157" s="75"/>
      <c r="AH157" s="75"/>
      <c r="AI157" s="75"/>
      <c r="AJ157" s="81"/>
      <c r="AK157" s="75"/>
      <c r="AL157" s="75"/>
    </row>
    <row r="158" spans="1:38" ht="15.75" hidden="1" thickBot="1" x14ac:dyDescent="0.3">
      <c r="A158" s="75"/>
      <c r="B158" s="75"/>
      <c r="C158" s="35">
        <f>INDEX(Données!$F$2:$L$54,MATCH(F158,Données!$F$2:$F$54,0),2)</f>
        <v>44004</v>
      </c>
      <c r="D158" s="29" t="str">
        <f t="shared" si="4"/>
        <v>#5</v>
      </c>
      <c r="E158" s="7">
        <f>Données!G27</f>
        <v>44004</v>
      </c>
      <c r="F158" s="6" t="str">
        <f>INDEX(Données!$F$2:$L$54,MATCH('#5'!E158,Données!$G$2:$G$54,1),1)</f>
        <v>26</v>
      </c>
      <c r="G158" s="18" t="str">
        <f t="shared" si="5"/>
        <v/>
      </c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1"/>
      <c r="W158" s="75"/>
      <c r="X158" s="75"/>
      <c r="Y158" s="75"/>
      <c r="Z158" s="96">
        <f>SUM(Tableau16[[#This Row],[A-1]:[G-5]])</f>
        <v>0</v>
      </c>
      <c r="AA158" s="96" t="str">
        <f>IF(AND(Z158&gt;0,Tableau16[[#This Row],[CDS]]=""),"Oui","Non")</f>
        <v>Non</v>
      </c>
      <c r="AB158" s="75"/>
      <c r="AC158" s="75"/>
      <c r="AD158" s="75"/>
      <c r="AE158" s="75"/>
      <c r="AF158" s="75"/>
      <c r="AG158" s="75"/>
      <c r="AH158" s="75"/>
      <c r="AI158" s="75"/>
      <c r="AJ158" s="81"/>
      <c r="AK158" s="75"/>
      <c r="AL158" s="75"/>
    </row>
    <row r="159" spans="1:38" ht="15.75" hidden="1" thickBot="1" x14ac:dyDescent="0.3">
      <c r="A159" s="75"/>
      <c r="B159" s="75"/>
      <c r="C159" s="35">
        <f>INDEX(Données!$F$2:$L$54,MATCH(F159,Données!$F$2:$F$54,0),2)</f>
        <v>44004</v>
      </c>
      <c r="D159" s="29" t="str">
        <f t="shared" si="4"/>
        <v>#5</v>
      </c>
      <c r="E159" s="7">
        <f>Données!H27</f>
        <v>44005</v>
      </c>
      <c r="F159" s="6" t="str">
        <f>INDEX(Données!$F$2:$L$54,MATCH('#5'!E159,Données!$G$2:$G$54,1),1)</f>
        <v>26</v>
      </c>
      <c r="G159" s="18" t="str">
        <f t="shared" si="5"/>
        <v/>
      </c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1"/>
      <c r="W159" s="75"/>
      <c r="X159" s="75"/>
      <c r="Y159" s="75"/>
      <c r="Z159" s="96">
        <f>SUM(Tableau16[[#This Row],[A-1]:[G-5]])</f>
        <v>0</v>
      </c>
      <c r="AA159" s="96" t="str">
        <f>IF(AND(Z159&gt;0,Tableau16[[#This Row],[CDS]]=""),"Oui","Non")</f>
        <v>Non</v>
      </c>
      <c r="AB159" s="75"/>
      <c r="AC159" s="75"/>
      <c r="AD159" s="75"/>
      <c r="AE159" s="75"/>
      <c r="AF159" s="75"/>
      <c r="AG159" s="75"/>
      <c r="AH159" s="75"/>
      <c r="AI159" s="75"/>
      <c r="AJ159" s="81"/>
      <c r="AK159" s="75"/>
      <c r="AL159" s="75"/>
    </row>
    <row r="160" spans="1:38" ht="15.75" hidden="1" thickBot="1" x14ac:dyDescent="0.3">
      <c r="A160" s="75"/>
      <c r="B160" s="75"/>
      <c r="C160" s="35">
        <f>INDEX(Données!$F$2:$L$54,MATCH(F160,Données!$F$2:$F$54,0),2)</f>
        <v>44004</v>
      </c>
      <c r="D160" s="29" t="str">
        <f t="shared" si="4"/>
        <v>#5</v>
      </c>
      <c r="E160" s="7">
        <f>Données!I27</f>
        <v>44006</v>
      </c>
      <c r="F160" s="6" t="str">
        <f>INDEX(Données!$F$2:$L$54,MATCH('#5'!E160,Données!$G$2:$G$54,1),1)</f>
        <v>26</v>
      </c>
      <c r="G160" s="18" t="str">
        <f t="shared" si="5"/>
        <v/>
      </c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1"/>
      <c r="W160" s="75"/>
      <c r="X160" s="75"/>
      <c r="Y160" s="75"/>
      <c r="Z160" s="96">
        <f>SUM(Tableau16[[#This Row],[A-1]:[G-5]])</f>
        <v>0</v>
      </c>
      <c r="AA160" s="96" t="str">
        <f>IF(AND(Z160&gt;0,Tableau16[[#This Row],[CDS]]=""),"Oui","Non")</f>
        <v>Non</v>
      </c>
      <c r="AB160" s="75"/>
      <c r="AC160" s="75"/>
      <c r="AD160" s="75"/>
      <c r="AE160" s="75"/>
      <c r="AF160" s="75"/>
      <c r="AG160" s="75"/>
      <c r="AH160" s="75"/>
      <c r="AI160" s="75"/>
      <c r="AJ160" s="81"/>
      <c r="AK160" s="75"/>
      <c r="AL160" s="75"/>
    </row>
    <row r="161" spans="1:38" ht="15.75" hidden="1" thickBot="1" x14ac:dyDescent="0.3">
      <c r="A161" s="75"/>
      <c r="B161" s="75"/>
      <c r="C161" s="35">
        <f>INDEX(Données!$F$2:$L$54,MATCH(F161,Données!$F$2:$F$54,0),2)</f>
        <v>44004</v>
      </c>
      <c r="D161" s="29" t="str">
        <f t="shared" si="4"/>
        <v>#5</v>
      </c>
      <c r="E161" s="7">
        <f>Données!J27</f>
        <v>44007</v>
      </c>
      <c r="F161" s="6" t="str">
        <f>INDEX(Données!$F$2:$L$54,MATCH('#5'!E161,Données!$G$2:$G$54,1),1)</f>
        <v>26</v>
      </c>
      <c r="G161" s="18" t="str">
        <f t="shared" si="5"/>
        <v/>
      </c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1"/>
      <c r="W161" s="75"/>
      <c r="X161" s="75"/>
      <c r="Y161" s="75"/>
      <c r="Z161" s="96">
        <f>SUM(Tableau16[[#This Row],[A-1]:[G-5]])</f>
        <v>0</v>
      </c>
      <c r="AA161" s="96" t="str">
        <f>IF(AND(Z161&gt;0,Tableau16[[#This Row],[CDS]]=""),"Oui","Non")</f>
        <v>Non</v>
      </c>
      <c r="AB161" s="75"/>
      <c r="AC161" s="75"/>
      <c r="AD161" s="75"/>
      <c r="AE161" s="75"/>
      <c r="AF161" s="75"/>
      <c r="AG161" s="75"/>
      <c r="AH161" s="75"/>
      <c r="AI161" s="75"/>
      <c r="AJ161" s="81"/>
      <c r="AK161" s="75"/>
      <c r="AL161" s="75"/>
    </row>
    <row r="162" spans="1:38" ht="15.75" hidden="1" thickBot="1" x14ac:dyDescent="0.3">
      <c r="A162" s="75"/>
      <c r="B162" s="75"/>
      <c r="C162" s="35">
        <f>INDEX(Données!$F$2:$L$54,MATCH(F162,Données!$F$2:$F$54,0),2)</f>
        <v>44004</v>
      </c>
      <c r="D162" s="29" t="str">
        <f t="shared" si="4"/>
        <v>#5</v>
      </c>
      <c r="E162" s="7">
        <f>Données!K27</f>
        <v>44008</v>
      </c>
      <c r="F162" s="6" t="str">
        <f>INDEX(Données!$F$2:$L$54,MATCH('#5'!E162,Données!$G$2:$G$54,1),1)</f>
        <v>26</v>
      </c>
      <c r="G162" s="18" t="str">
        <f t="shared" si="5"/>
        <v/>
      </c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1"/>
      <c r="W162" s="75"/>
      <c r="X162" s="75"/>
      <c r="Y162" s="75"/>
      <c r="Z162" s="96">
        <f>SUM(Tableau16[[#This Row],[A-1]:[G-5]])</f>
        <v>0</v>
      </c>
      <c r="AA162" s="96" t="str">
        <f>IF(AND(Z162&gt;0,Tableau16[[#This Row],[CDS]]=""),"Oui","Non")</f>
        <v>Non</v>
      </c>
      <c r="AB162" s="75"/>
      <c r="AC162" s="75"/>
      <c r="AD162" s="75"/>
      <c r="AE162" s="75"/>
      <c r="AF162" s="75"/>
      <c r="AG162" s="75"/>
      <c r="AH162" s="75"/>
      <c r="AI162" s="75"/>
      <c r="AJ162" s="81"/>
      <c r="AK162" s="75"/>
      <c r="AL162" s="75"/>
    </row>
    <row r="163" spans="1:38" ht="15.75" hidden="1" thickBot="1" x14ac:dyDescent="0.3">
      <c r="A163" s="75"/>
      <c r="B163" s="75"/>
      <c r="C163" s="35">
        <f>INDEX(Données!$F$2:$L$54,MATCH(F163,Données!$F$2:$F$54,0),2)</f>
        <v>44004</v>
      </c>
      <c r="D163" s="29" t="str">
        <f t="shared" si="4"/>
        <v>#5</v>
      </c>
      <c r="E163" s="7">
        <f>Données!L27</f>
        <v>44009</v>
      </c>
      <c r="F163" s="6" t="str">
        <f>INDEX(Données!$F$2:$L$54,MATCH('#5'!E163,Données!$G$2:$G$54,1),1)</f>
        <v>26</v>
      </c>
      <c r="G163" s="18" t="str">
        <f t="shared" si="5"/>
        <v/>
      </c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1"/>
      <c r="W163" s="75"/>
      <c r="X163" s="75"/>
      <c r="Y163" s="75"/>
      <c r="Z163" s="96">
        <f>SUM(Tableau16[[#This Row],[A-1]:[G-5]])</f>
        <v>0</v>
      </c>
      <c r="AA163" s="96" t="str">
        <f>IF(AND(Z163&gt;0,Tableau16[[#This Row],[CDS]]=""),"Oui","Non")</f>
        <v>Non</v>
      </c>
      <c r="AB163" s="75"/>
      <c r="AC163" s="75"/>
      <c r="AD163" s="75"/>
      <c r="AE163" s="75"/>
      <c r="AF163" s="75"/>
      <c r="AG163" s="75"/>
      <c r="AH163" s="75"/>
      <c r="AI163" s="75"/>
      <c r="AJ163" s="81"/>
      <c r="AK163" s="75"/>
      <c r="AL163" s="75"/>
    </row>
    <row r="164" spans="1:38" ht="15.75" hidden="1" thickBot="1" x14ac:dyDescent="0.3">
      <c r="A164" s="75"/>
      <c r="B164" s="75"/>
      <c r="C164" s="35">
        <f>INDEX(Données!$F$2:$L$54,MATCH(F164,Données!$F$2:$F$54,0),2)</f>
        <v>44011</v>
      </c>
      <c r="D164" s="29" t="str">
        <f t="shared" si="4"/>
        <v>#5</v>
      </c>
      <c r="E164" s="7">
        <f>Données!G28</f>
        <v>44011</v>
      </c>
      <c r="F164" s="6" t="str">
        <f>INDEX(Données!$F$2:$L$54,MATCH('#5'!E164,Données!$G$2:$G$54,1),1)</f>
        <v>27</v>
      </c>
      <c r="G164" s="18" t="str">
        <f t="shared" si="5"/>
        <v/>
      </c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1"/>
      <c r="W164" s="75"/>
      <c r="X164" s="75"/>
      <c r="Y164" s="75"/>
      <c r="Z164" s="96">
        <f>SUM(Tableau16[[#This Row],[A-1]:[G-5]])</f>
        <v>0</v>
      </c>
      <c r="AA164" s="96" t="str">
        <f>IF(AND(Z164&gt;0,Tableau16[[#This Row],[CDS]]=""),"Oui","Non")</f>
        <v>Non</v>
      </c>
      <c r="AB164" s="75"/>
      <c r="AC164" s="75"/>
      <c r="AD164" s="75"/>
      <c r="AE164" s="75"/>
      <c r="AF164" s="75"/>
      <c r="AG164" s="75"/>
      <c r="AH164" s="75"/>
      <c r="AI164" s="75"/>
      <c r="AJ164" s="81"/>
      <c r="AK164" s="75"/>
      <c r="AL164" s="75"/>
    </row>
    <row r="165" spans="1:38" ht="15.75" hidden="1" thickBot="1" x14ac:dyDescent="0.3">
      <c r="A165" s="75"/>
      <c r="B165" s="75"/>
      <c r="C165" s="35">
        <f>INDEX(Données!$F$2:$L$54,MATCH(F165,Données!$F$2:$F$54,0),2)</f>
        <v>44011</v>
      </c>
      <c r="D165" s="29" t="str">
        <f t="shared" si="4"/>
        <v>#5</v>
      </c>
      <c r="E165" s="7">
        <f>Données!H28</f>
        <v>44012</v>
      </c>
      <c r="F165" s="6" t="str">
        <f>INDEX(Données!$F$2:$L$54,MATCH('#5'!E165,Données!$G$2:$G$54,1),1)</f>
        <v>27</v>
      </c>
      <c r="G165" s="18" t="str">
        <f t="shared" si="5"/>
        <v/>
      </c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1"/>
      <c r="W165" s="75"/>
      <c r="X165" s="75"/>
      <c r="Y165" s="75"/>
      <c r="Z165" s="96">
        <f>SUM(Tableau16[[#This Row],[A-1]:[G-5]])</f>
        <v>0</v>
      </c>
      <c r="AA165" s="96" t="str">
        <f>IF(AND(Z165&gt;0,Tableau16[[#This Row],[CDS]]=""),"Oui","Non")</f>
        <v>Non</v>
      </c>
      <c r="AB165" s="75"/>
      <c r="AC165" s="75"/>
      <c r="AD165" s="75"/>
      <c r="AE165" s="75"/>
      <c r="AF165" s="75"/>
      <c r="AG165" s="75"/>
      <c r="AH165" s="75"/>
      <c r="AI165" s="75"/>
      <c r="AJ165" s="81"/>
      <c r="AK165" s="75"/>
      <c r="AL165" s="75"/>
    </row>
    <row r="166" spans="1:38" ht="15.75" hidden="1" thickBot="1" x14ac:dyDescent="0.3">
      <c r="A166" s="75"/>
      <c r="B166" s="75"/>
      <c r="C166" s="35">
        <f>INDEX(Données!$F$2:$L$54,MATCH(F166,Données!$F$2:$F$54,0),2)</f>
        <v>44011</v>
      </c>
      <c r="D166" s="29" t="str">
        <f t="shared" si="4"/>
        <v>#5</v>
      </c>
      <c r="E166" s="7">
        <f>Données!I28</f>
        <v>44013</v>
      </c>
      <c r="F166" s="6" t="str">
        <f>INDEX(Données!$F$2:$L$54,MATCH('#5'!E166,Données!$G$2:$G$54,1),1)</f>
        <v>27</v>
      </c>
      <c r="G166" s="18" t="str">
        <f t="shared" si="5"/>
        <v/>
      </c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1"/>
      <c r="W166" s="75"/>
      <c r="X166" s="75"/>
      <c r="Y166" s="75"/>
      <c r="Z166" s="96">
        <f>SUM(Tableau16[[#This Row],[A-1]:[G-5]])</f>
        <v>0</v>
      </c>
      <c r="AA166" s="96" t="str">
        <f>IF(AND(Z166&gt;0,Tableau16[[#This Row],[CDS]]=""),"Oui","Non")</f>
        <v>Non</v>
      </c>
      <c r="AB166" s="75"/>
      <c r="AC166" s="75"/>
      <c r="AD166" s="75"/>
      <c r="AE166" s="75"/>
      <c r="AF166" s="75"/>
      <c r="AG166" s="75"/>
      <c r="AH166" s="75"/>
      <c r="AI166" s="75"/>
      <c r="AJ166" s="81"/>
      <c r="AK166" s="75"/>
      <c r="AL166" s="75"/>
    </row>
    <row r="167" spans="1:38" ht="15.75" hidden="1" thickBot="1" x14ac:dyDescent="0.3">
      <c r="A167" s="75"/>
      <c r="B167" s="75"/>
      <c r="C167" s="35">
        <f>INDEX(Données!$F$2:$L$54,MATCH(F167,Données!$F$2:$F$54,0),2)</f>
        <v>44011</v>
      </c>
      <c r="D167" s="29" t="str">
        <f t="shared" si="4"/>
        <v>#5</v>
      </c>
      <c r="E167" s="7">
        <f>Données!J28</f>
        <v>44014</v>
      </c>
      <c r="F167" s="6" t="str">
        <f>INDEX(Données!$F$2:$L$54,MATCH('#5'!E167,Données!$G$2:$G$54,1),1)</f>
        <v>27</v>
      </c>
      <c r="G167" s="18" t="str">
        <f t="shared" si="5"/>
        <v/>
      </c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1"/>
      <c r="W167" s="75"/>
      <c r="X167" s="75"/>
      <c r="Y167" s="75"/>
      <c r="Z167" s="96">
        <f>SUM(Tableau16[[#This Row],[A-1]:[G-5]])</f>
        <v>0</v>
      </c>
      <c r="AA167" s="96" t="str">
        <f>IF(AND(Z167&gt;0,Tableau16[[#This Row],[CDS]]=""),"Oui","Non")</f>
        <v>Non</v>
      </c>
      <c r="AB167" s="75"/>
      <c r="AC167" s="75"/>
      <c r="AD167" s="75"/>
      <c r="AE167" s="75"/>
      <c r="AF167" s="75"/>
      <c r="AG167" s="75"/>
      <c r="AH167" s="75"/>
      <c r="AI167" s="75"/>
      <c r="AJ167" s="81"/>
      <c r="AK167" s="75"/>
      <c r="AL167" s="75"/>
    </row>
    <row r="168" spans="1:38" ht="15.75" hidden="1" thickBot="1" x14ac:dyDescent="0.3">
      <c r="A168" s="75"/>
      <c r="B168" s="75"/>
      <c r="C168" s="35">
        <f>INDEX(Données!$F$2:$L$54,MATCH(F168,Données!$F$2:$F$54,0),2)</f>
        <v>44011</v>
      </c>
      <c r="D168" s="29" t="str">
        <f t="shared" si="4"/>
        <v>#5</v>
      </c>
      <c r="E168" s="7">
        <f>Données!K28</f>
        <v>44015</v>
      </c>
      <c r="F168" s="6" t="str">
        <f>INDEX(Données!$F$2:$L$54,MATCH('#5'!E168,Données!$G$2:$G$54,1),1)</f>
        <v>27</v>
      </c>
      <c r="G168" s="18" t="str">
        <f t="shared" si="5"/>
        <v/>
      </c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1"/>
      <c r="W168" s="75"/>
      <c r="X168" s="75"/>
      <c r="Y168" s="75"/>
      <c r="Z168" s="96">
        <f>SUM(Tableau16[[#This Row],[A-1]:[G-5]])</f>
        <v>0</v>
      </c>
      <c r="AA168" s="96" t="str">
        <f>IF(AND(Z168&gt;0,Tableau16[[#This Row],[CDS]]=""),"Oui","Non")</f>
        <v>Non</v>
      </c>
      <c r="AB168" s="75"/>
      <c r="AC168" s="75"/>
      <c r="AD168" s="75"/>
      <c r="AE168" s="75"/>
      <c r="AF168" s="75"/>
      <c r="AG168" s="75"/>
      <c r="AH168" s="75"/>
      <c r="AI168" s="75"/>
      <c r="AJ168" s="81"/>
      <c r="AK168" s="75"/>
      <c r="AL168" s="75"/>
    </row>
    <row r="169" spans="1:38" ht="15.75" hidden="1" thickBot="1" x14ac:dyDescent="0.3">
      <c r="A169" s="75"/>
      <c r="B169" s="75"/>
      <c r="C169" s="35">
        <f>INDEX(Données!$F$2:$L$54,MATCH(F169,Données!$F$2:$F$54,0),2)</f>
        <v>44011</v>
      </c>
      <c r="D169" s="29" t="str">
        <f t="shared" si="4"/>
        <v>#5</v>
      </c>
      <c r="E169" s="7">
        <f>Données!L28</f>
        <v>44016</v>
      </c>
      <c r="F169" s="6" t="str">
        <f>INDEX(Données!$F$2:$L$54,MATCH('#5'!E169,Données!$G$2:$G$54,1),1)</f>
        <v>27</v>
      </c>
      <c r="G169" s="18" t="str">
        <f t="shared" si="5"/>
        <v/>
      </c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1"/>
      <c r="W169" s="75"/>
      <c r="X169" s="75"/>
      <c r="Y169" s="75"/>
      <c r="Z169" s="96">
        <f>SUM(Tableau16[[#This Row],[A-1]:[G-5]])</f>
        <v>0</v>
      </c>
      <c r="AA169" s="96" t="str">
        <f>IF(AND(Z169&gt;0,Tableau16[[#This Row],[CDS]]=""),"Oui","Non")</f>
        <v>Non</v>
      </c>
      <c r="AB169" s="75"/>
      <c r="AC169" s="75"/>
      <c r="AD169" s="75"/>
      <c r="AE169" s="75"/>
      <c r="AF169" s="75"/>
      <c r="AG169" s="75"/>
      <c r="AH169" s="75"/>
      <c r="AI169" s="75"/>
      <c r="AJ169" s="81"/>
      <c r="AK169" s="75"/>
      <c r="AL169" s="75"/>
    </row>
    <row r="170" spans="1:38" ht="15.75" hidden="1" thickBot="1" x14ac:dyDescent="0.3">
      <c r="A170" s="75"/>
      <c r="B170" s="75"/>
      <c r="C170" s="35">
        <f>INDEX(Données!$F$2:$L$54,MATCH(F170,Données!$F$2:$F$54,0),2)</f>
        <v>44018</v>
      </c>
      <c r="D170" s="29" t="str">
        <f t="shared" si="4"/>
        <v>#5</v>
      </c>
      <c r="E170" s="7">
        <f>Données!G29</f>
        <v>44018</v>
      </c>
      <c r="F170" s="6" t="str">
        <f>INDEX(Données!$F$2:$L$54,MATCH('#5'!E170,Données!$G$2:$G$54,1),1)</f>
        <v>28</v>
      </c>
      <c r="G170" s="18" t="str">
        <f t="shared" si="5"/>
        <v/>
      </c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1"/>
      <c r="W170" s="75"/>
      <c r="X170" s="75"/>
      <c r="Y170" s="75"/>
      <c r="Z170" s="96">
        <f>SUM(Tableau16[[#This Row],[A-1]:[G-5]])</f>
        <v>0</v>
      </c>
      <c r="AA170" s="96" t="str">
        <f>IF(AND(Z170&gt;0,Tableau16[[#This Row],[CDS]]=""),"Oui","Non")</f>
        <v>Non</v>
      </c>
      <c r="AB170" s="75"/>
      <c r="AC170" s="75"/>
      <c r="AD170" s="75"/>
      <c r="AE170" s="75"/>
      <c r="AF170" s="75"/>
      <c r="AG170" s="75"/>
      <c r="AH170" s="75"/>
      <c r="AI170" s="75"/>
      <c r="AJ170" s="81"/>
      <c r="AK170" s="75"/>
      <c r="AL170" s="75"/>
    </row>
    <row r="171" spans="1:38" ht="15.75" hidden="1" thickBot="1" x14ac:dyDescent="0.3">
      <c r="A171" s="75"/>
      <c r="B171" s="75"/>
      <c r="C171" s="35">
        <f>INDEX(Données!$F$2:$L$54,MATCH(F171,Données!$F$2:$F$54,0),2)</f>
        <v>44018</v>
      </c>
      <c r="D171" s="29" t="str">
        <f t="shared" si="4"/>
        <v>#5</v>
      </c>
      <c r="E171" s="7">
        <f>Données!H29</f>
        <v>44019</v>
      </c>
      <c r="F171" s="6" t="str">
        <f>INDEX(Données!$F$2:$L$54,MATCH('#5'!E171,Données!$G$2:$G$54,1),1)</f>
        <v>28</v>
      </c>
      <c r="G171" s="18" t="str">
        <f t="shared" si="5"/>
        <v/>
      </c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1"/>
      <c r="W171" s="75"/>
      <c r="X171" s="75"/>
      <c r="Y171" s="75"/>
      <c r="Z171" s="96">
        <f>SUM(Tableau16[[#This Row],[A-1]:[G-5]])</f>
        <v>0</v>
      </c>
      <c r="AA171" s="96" t="str">
        <f>IF(AND(Z171&gt;0,Tableau16[[#This Row],[CDS]]=""),"Oui","Non")</f>
        <v>Non</v>
      </c>
      <c r="AB171" s="75"/>
      <c r="AC171" s="75"/>
      <c r="AD171" s="75"/>
      <c r="AE171" s="75"/>
      <c r="AF171" s="75"/>
      <c r="AG171" s="75"/>
      <c r="AH171" s="75"/>
      <c r="AI171" s="75"/>
      <c r="AJ171" s="81"/>
      <c r="AK171" s="75"/>
      <c r="AL171" s="75"/>
    </row>
    <row r="172" spans="1:38" ht="15.75" hidden="1" thickBot="1" x14ac:dyDescent="0.3">
      <c r="A172" s="75"/>
      <c r="B172" s="75"/>
      <c r="C172" s="35">
        <f>INDEX(Données!$F$2:$L$54,MATCH(F172,Données!$F$2:$F$54,0),2)</f>
        <v>44018</v>
      </c>
      <c r="D172" s="29" t="str">
        <f t="shared" si="4"/>
        <v>#5</v>
      </c>
      <c r="E172" s="7">
        <f>Données!I29</f>
        <v>44020</v>
      </c>
      <c r="F172" s="6" t="str">
        <f>INDEX(Données!$F$2:$L$54,MATCH('#5'!E172,Données!$G$2:$G$54,1),1)</f>
        <v>28</v>
      </c>
      <c r="G172" s="18" t="str">
        <f t="shared" si="5"/>
        <v/>
      </c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1"/>
      <c r="W172" s="75"/>
      <c r="X172" s="75"/>
      <c r="Y172" s="75"/>
      <c r="Z172" s="96">
        <f>SUM(Tableau16[[#This Row],[A-1]:[G-5]])</f>
        <v>0</v>
      </c>
      <c r="AA172" s="96" t="str">
        <f>IF(AND(Z172&gt;0,Tableau16[[#This Row],[CDS]]=""),"Oui","Non")</f>
        <v>Non</v>
      </c>
      <c r="AB172" s="75"/>
      <c r="AC172" s="75"/>
      <c r="AD172" s="75"/>
      <c r="AE172" s="75"/>
      <c r="AF172" s="75"/>
      <c r="AG172" s="75"/>
      <c r="AH172" s="75"/>
      <c r="AI172" s="75"/>
      <c r="AJ172" s="81"/>
      <c r="AK172" s="75"/>
      <c r="AL172" s="75"/>
    </row>
    <row r="173" spans="1:38" ht="15.75" hidden="1" thickBot="1" x14ac:dyDescent="0.3">
      <c r="A173" s="75"/>
      <c r="B173" s="75"/>
      <c r="C173" s="35">
        <f>INDEX(Données!$F$2:$L$54,MATCH(F173,Données!$F$2:$F$54,0),2)</f>
        <v>44018</v>
      </c>
      <c r="D173" s="29" t="str">
        <f t="shared" si="4"/>
        <v>#5</v>
      </c>
      <c r="E173" s="7">
        <f>Données!J29</f>
        <v>44021</v>
      </c>
      <c r="F173" s="6" t="str">
        <f>INDEX(Données!$F$2:$L$54,MATCH('#5'!E173,Données!$G$2:$G$54,1),1)</f>
        <v>28</v>
      </c>
      <c r="G173" s="18" t="str">
        <f t="shared" si="5"/>
        <v/>
      </c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1"/>
      <c r="W173" s="75"/>
      <c r="X173" s="75"/>
      <c r="Y173" s="75"/>
      <c r="Z173" s="96">
        <f>SUM(Tableau16[[#This Row],[A-1]:[G-5]])</f>
        <v>0</v>
      </c>
      <c r="AA173" s="96" t="str">
        <f>IF(AND(Z173&gt;0,Tableau16[[#This Row],[CDS]]=""),"Oui","Non")</f>
        <v>Non</v>
      </c>
      <c r="AB173" s="75"/>
      <c r="AC173" s="75"/>
      <c r="AD173" s="75"/>
      <c r="AE173" s="75"/>
      <c r="AF173" s="75"/>
      <c r="AG173" s="75"/>
      <c r="AH173" s="75"/>
      <c r="AI173" s="75"/>
      <c r="AJ173" s="81"/>
      <c r="AK173" s="75"/>
      <c r="AL173" s="75"/>
    </row>
    <row r="174" spans="1:38" ht="15.75" hidden="1" thickBot="1" x14ac:dyDescent="0.3">
      <c r="A174" s="75"/>
      <c r="B174" s="75"/>
      <c r="C174" s="35">
        <f>INDEX(Données!$F$2:$L$54,MATCH(F174,Données!$F$2:$F$54,0),2)</f>
        <v>44018</v>
      </c>
      <c r="D174" s="29" t="str">
        <f t="shared" si="4"/>
        <v>#5</v>
      </c>
      <c r="E174" s="7">
        <f>Données!K29</f>
        <v>44022</v>
      </c>
      <c r="F174" s="6" t="str">
        <f>INDEX(Données!$F$2:$L$54,MATCH('#5'!E174,Données!$G$2:$G$54,1),1)</f>
        <v>28</v>
      </c>
      <c r="G174" s="18" t="str">
        <f t="shared" si="5"/>
        <v/>
      </c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1"/>
      <c r="W174" s="75"/>
      <c r="X174" s="75"/>
      <c r="Y174" s="75"/>
      <c r="Z174" s="96">
        <f>SUM(Tableau16[[#This Row],[A-1]:[G-5]])</f>
        <v>0</v>
      </c>
      <c r="AA174" s="96" t="str">
        <f>IF(AND(Z174&gt;0,Tableau16[[#This Row],[CDS]]=""),"Oui","Non")</f>
        <v>Non</v>
      </c>
      <c r="AB174" s="75"/>
      <c r="AC174" s="75"/>
      <c r="AD174" s="75"/>
      <c r="AE174" s="75"/>
      <c r="AF174" s="75"/>
      <c r="AG174" s="75"/>
      <c r="AH174" s="75"/>
      <c r="AI174" s="75"/>
      <c r="AJ174" s="81"/>
      <c r="AK174" s="75"/>
      <c r="AL174" s="75"/>
    </row>
    <row r="175" spans="1:38" ht="15.75" hidden="1" thickBot="1" x14ac:dyDescent="0.3">
      <c r="A175" s="75"/>
      <c r="B175" s="75"/>
      <c r="C175" s="35">
        <f>INDEX(Données!$F$2:$L$54,MATCH(F175,Données!$F$2:$F$54,0),2)</f>
        <v>44018</v>
      </c>
      <c r="D175" s="29" t="str">
        <f t="shared" si="4"/>
        <v>#5</v>
      </c>
      <c r="E175" s="7">
        <f>Données!L29</f>
        <v>44023</v>
      </c>
      <c r="F175" s="6" t="str">
        <f>INDEX(Données!$F$2:$L$54,MATCH('#5'!E175,Données!$G$2:$G$54,1),1)</f>
        <v>28</v>
      </c>
      <c r="G175" s="18" t="str">
        <f t="shared" si="5"/>
        <v/>
      </c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1"/>
      <c r="W175" s="75"/>
      <c r="X175" s="75"/>
      <c r="Y175" s="75"/>
      <c r="Z175" s="96">
        <f>SUM(Tableau16[[#This Row],[A-1]:[G-5]])</f>
        <v>0</v>
      </c>
      <c r="AA175" s="96" t="str">
        <f>IF(AND(Z175&gt;0,Tableau16[[#This Row],[CDS]]=""),"Oui","Non")</f>
        <v>Non</v>
      </c>
      <c r="AB175" s="75"/>
      <c r="AC175" s="75"/>
      <c r="AD175" s="75"/>
      <c r="AE175" s="75"/>
      <c r="AF175" s="75"/>
      <c r="AG175" s="75"/>
      <c r="AH175" s="75"/>
      <c r="AI175" s="75"/>
      <c r="AJ175" s="81"/>
      <c r="AK175" s="75"/>
      <c r="AL175" s="75"/>
    </row>
    <row r="176" spans="1:38" ht="15.75" hidden="1" thickBot="1" x14ac:dyDescent="0.3">
      <c r="A176" s="75"/>
      <c r="B176" s="75"/>
      <c r="C176" s="35">
        <f>INDEX(Données!$F$2:$L$54,MATCH(F176,Données!$F$2:$F$54,0),2)</f>
        <v>44025</v>
      </c>
      <c r="D176" s="29" t="str">
        <f t="shared" si="4"/>
        <v>#5</v>
      </c>
      <c r="E176" s="7">
        <f>Données!G30</f>
        <v>44025</v>
      </c>
      <c r="F176" s="6" t="str">
        <f>INDEX(Données!$F$2:$L$54,MATCH('#5'!E176,Données!$G$2:$G$54,1),1)</f>
        <v>29</v>
      </c>
      <c r="G176" s="18" t="str">
        <f t="shared" si="5"/>
        <v/>
      </c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1"/>
      <c r="W176" s="75"/>
      <c r="X176" s="75"/>
      <c r="Y176" s="75"/>
      <c r="Z176" s="96">
        <f>SUM(Tableau16[[#This Row],[A-1]:[G-5]])</f>
        <v>0</v>
      </c>
      <c r="AA176" s="96" t="str">
        <f>IF(AND(Z176&gt;0,Tableau16[[#This Row],[CDS]]=""),"Oui","Non")</f>
        <v>Non</v>
      </c>
      <c r="AB176" s="75"/>
      <c r="AC176" s="75"/>
      <c r="AD176" s="75"/>
      <c r="AE176" s="75"/>
      <c r="AF176" s="75"/>
      <c r="AG176" s="75"/>
      <c r="AH176" s="75"/>
      <c r="AI176" s="75"/>
      <c r="AJ176" s="81"/>
      <c r="AK176" s="75"/>
      <c r="AL176" s="75"/>
    </row>
    <row r="177" spans="1:38" ht="15.75" hidden="1" thickBot="1" x14ac:dyDescent="0.3">
      <c r="A177" s="75"/>
      <c r="B177" s="75"/>
      <c r="C177" s="35">
        <f>INDEX(Données!$F$2:$L$54,MATCH(F177,Données!$F$2:$F$54,0),2)</f>
        <v>44025</v>
      </c>
      <c r="D177" s="29" t="str">
        <f t="shared" si="4"/>
        <v>#5</v>
      </c>
      <c r="E177" s="7">
        <f>Données!H30</f>
        <v>44026</v>
      </c>
      <c r="F177" s="6" t="str">
        <f>INDEX(Données!$F$2:$L$54,MATCH('#5'!E177,Données!$G$2:$G$54,1),1)</f>
        <v>29</v>
      </c>
      <c r="G177" s="18" t="str">
        <f t="shared" si="5"/>
        <v/>
      </c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1"/>
      <c r="W177" s="75"/>
      <c r="X177" s="75"/>
      <c r="Y177" s="75"/>
      <c r="Z177" s="96">
        <f>SUM(Tableau16[[#This Row],[A-1]:[G-5]])</f>
        <v>0</v>
      </c>
      <c r="AA177" s="96" t="str">
        <f>IF(AND(Z177&gt;0,Tableau16[[#This Row],[CDS]]=""),"Oui","Non")</f>
        <v>Non</v>
      </c>
      <c r="AB177" s="75"/>
      <c r="AC177" s="75"/>
      <c r="AD177" s="75"/>
      <c r="AE177" s="75"/>
      <c r="AF177" s="75"/>
      <c r="AG177" s="75"/>
      <c r="AH177" s="75"/>
      <c r="AI177" s="75"/>
      <c r="AJ177" s="81"/>
      <c r="AK177" s="75"/>
      <c r="AL177" s="75"/>
    </row>
    <row r="178" spans="1:38" ht="15.75" hidden="1" thickBot="1" x14ac:dyDescent="0.3">
      <c r="A178" s="75"/>
      <c r="B178" s="75"/>
      <c r="C178" s="35">
        <f>INDEX(Données!$F$2:$L$54,MATCH(F178,Données!$F$2:$F$54,0),2)</f>
        <v>44025</v>
      </c>
      <c r="D178" s="29" t="str">
        <f t="shared" si="4"/>
        <v>#5</v>
      </c>
      <c r="E178" s="7">
        <f>Données!I30</f>
        <v>44027</v>
      </c>
      <c r="F178" s="6" t="str">
        <f>INDEX(Données!$F$2:$L$54,MATCH('#5'!E178,Données!$G$2:$G$54,1),1)</f>
        <v>29</v>
      </c>
      <c r="G178" s="18" t="str">
        <f t="shared" si="5"/>
        <v/>
      </c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1"/>
      <c r="W178" s="75"/>
      <c r="X178" s="75"/>
      <c r="Y178" s="75"/>
      <c r="Z178" s="96">
        <f>SUM(Tableau16[[#This Row],[A-1]:[G-5]])</f>
        <v>0</v>
      </c>
      <c r="AA178" s="96" t="str">
        <f>IF(AND(Z178&gt;0,Tableau16[[#This Row],[CDS]]=""),"Oui","Non")</f>
        <v>Non</v>
      </c>
      <c r="AB178" s="75"/>
      <c r="AC178" s="75"/>
      <c r="AD178" s="75"/>
      <c r="AE178" s="75"/>
      <c r="AF178" s="75"/>
      <c r="AG178" s="75"/>
      <c r="AH178" s="75"/>
      <c r="AI178" s="75"/>
      <c r="AJ178" s="81"/>
      <c r="AK178" s="75"/>
      <c r="AL178" s="75"/>
    </row>
    <row r="179" spans="1:38" ht="15.75" hidden="1" thickBot="1" x14ac:dyDescent="0.3">
      <c r="A179" s="75"/>
      <c r="B179" s="75"/>
      <c r="C179" s="35">
        <f>INDEX(Données!$F$2:$L$54,MATCH(F179,Données!$F$2:$F$54,0),2)</f>
        <v>44025</v>
      </c>
      <c r="D179" s="29" t="str">
        <f t="shared" si="4"/>
        <v>#5</v>
      </c>
      <c r="E179" s="7">
        <f>Données!J30</f>
        <v>44028</v>
      </c>
      <c r="F179" s="6" t="str">
        <f>INDEX(Données!$F$2:$L$54,MATCH('#5'!E179,Données!$G$2:$G$54,1),1)</f>
        <v>29</v>
      </c>
      <c r="G179" s="18" t="str">
        <f t="shared" si="5"/>
        <v/>
      </c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1"/>
      <c r="W179" s="75"/>
      <c r="X179" s="75"/>
      <c r="Y179" s="75"/>
      <c r="Z179" s="96">
        <f>SUM(Tableau16[[#This Row],[A-1]:[G-5]])</f>
        <v>0</v>
      </c>
      <c r="AA179" s="96" t="str">
        <f>IF(AND(Z179&gt;0,Tableau16[[#This Row],[CDS]]=""),"Oui","Non")</f>
        <v>Non</v>
      </c>
      <c r="AB179" s="75"/>
      <c r="AC179" s="75"/>
      <c r="AD179" s="75"/>
      <c r="AE179" s="75"/>
      <c r="AF179" s="75"/>
      <c r="AG179" s="75"/>
      <c r="AH179" s="75"/>
      <c r="AI179" s="75"/>
      <c r="AJ179" s="81"/>
      <c r="AK179" s="75"/>
      <c r="AL179" s="75"/>
    </row>
    <row r="180" spans="1:38" ht="15.75" hidden="1" thickBot="1" x14ac:dyDescent="0.3">
      <c r="A180" s="75"/>
      <c r="B180" s="75"/>
      <c r="C180" s="35">
        <f>INDEX(Données!$F$2:$L$54,MATCH(F180,Données!$F$2:$F$54,0),2)</f>
        <v>44025</v>
      </c>
      <c r="D180" s="29" t="str">
        <f t="shared" si="4"/>
        <v>#5</v>
      </c>
      <c r="E180" s="7">
        <f>Données!K30</f>
        <v>44029</v>
      </c>
      <c r="F180" s="6" t="str">
        <f>INDEX(Données!$F$2:$L$54,MATCH('#5'!E180,Données!$G$2:$G$54,1),1)</f>
        <v>29</v>
      </c>
      <c r="G180" s="18" t="str">
        <f t="shared" si="5"/>
        <v/>
      </c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1"/>
      <c r="W180" s="75"/>
      <c r="X180" s="75"/>
      <c r="Y180" s="75"/>
      <c r="Z180" s="96">
        <f>SUM(Tableau16[[#This Row],[A-1]:[G-5]])</f>
        <v>0</v>
      </c>
      <c r="AA180" s="96" t="str">
        <f>IF(AND(Z180&gt;0,Tableau16[[#This Row],[CDS]]=""),"Oui","Non")</f>
        <v>Non</v>
      </c>
      <c r="AB180" s="75"/>
      <c r="AC180" s="75"/>
      <c r="AD180" s="75"/>
      <c r="AE180" s="75"/>
      <c r="AF180" s="75"/>
      <c r="AG180" s="75"/>
      <c r="AH180" s="75"/>
      <c r="AI180" s="75"/>
      <c r="AJ180" s="81"/>
      <c r="AK180" s="75"/>
      <c r="AL180" s="75"/>
    </row>
    <row r="181" spans="1:38" ht="15.75" hidden="1" thickBot="1" x14ac:dyDescent="0.3">
      <c r="A181" s="75"/>
      <c r="B181" s="75"/>
      <c r="C181" s="35">
        <f>INDEX(Données!$F$2:$L$54,MATCH(F181,Données!$F$2:$F$54,0),2)</f>
        <v>44025</v>
      </c>
      <c r="D181" s="29" t="str">
        <f t="shared" si="4"/>
        <v>#5</v>
      </c>
      <c r="E181" s="7">
        <f>Données!L30</f>
        <v>44030</v>
      </c>
      <c r="F181" s="6" t="str">
        <f>INDEX(Données!$F$2:$L$54,MATCH('#5'!E181,Données!$G$2:$G$54,1),1)</f>
        <v>29</v>
      </c>
      <c r="G181" s="18" t="str">
        <f t="shared" si="5"/>
        <v/>
      </c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1"/>
      <c r="W181" s="75"/>
      <c r="X181" s="75"/>
      <c r="Y181" s="75"/>
      <c r="Z181" s="96">
        <f>SUM(Tableau16[[#This Row],[A-1]:[G-5]])</f>
        <v>0</v>
      </c>
      <c r="AA181" s="96" t="str">
        <f>IF(AND(Z181&gt;0,Tableau16[[#This Row],[CDS]]=""),"Oui","Non")</f>
        <v>Non</v>
      </c>
      <c r="AB181" s="75"/>
      <c r="AC181" s="75"/>
      <c r="AD181" s="75"/>
      <c r="AE181" s="75"/>
      <c r="AF181" s="75"/>
      <c r="AG181" s="75"/>
      <c r="AH181" s="75"/>
      <c r="AI181" s="75"/>
      <c r="AJ181" s="81"/>
      <c r="AK181" s="75"/>
      <c r="AL181" s="75"/>
    </row>
    <row r="182" spans="1:38" ht="15.75" hidden="1" thickBot="1" x14ac:dyDescent="0.3">
      <c r="A182" s="75"/>
      <c r="B182" s="75"/>
      <c r="C182" s="35">
        <f>INDEX(Données!$F$2:$L$54,MATCH(F182,Données!$F$2:$F$54,0),2)</f>
        <v>44032</v>
      </c>
      <c r="D182" s="29" t="str">
        <f t="shared" si="4"/>
        <v>#5</v>
      </c>
      <c r="E182" s="7">
        <f>Données!G31</f>
        <v>44032</v>
      </c>
      <c r="F182" s="6" t="str">
        <f>INDEX(Données!$F$2:$L$54,MATCH('#5'!E182,Données!$G$2:$G$54,1),1)</f>
        <v>30</v>
      </c>
      <c r="G182" s="18" t="str">
        <f t="shared" si="5"/>
        <v/>
      </c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1"/>
      <c r="W182" s="75"/>
      <c r="X182" s="75"/>
      <c r="Y182" s="75"/>
      <c r="Z182" s="96">
        <f>SUM(Tableau16[[#This Row],[A-1]:[G-5]])</f>
        <v>0</v>
      </c>
      <c r="AA182" s="96" t="str">
        <f>IF(AND(Z182&gt;0,Tableau16[[#This Row],[CDS]]=""),"Oui","Non")</f>
        <v>Non</v>
      </c>
      <c r="AB182" s="75"/>
      <c r="AC182" s="75"/>
      <c r="AD182" s="75"/>
      <c r="AE182" s="75"/>
      <c r="AF182" s="75"/>
      <c r="AG182" s="75"/>
      <c r="AH182" s="75"/>
      <c r="AI182" s="75"/>
      <c r="AJ182" s="81"/>
      <c r="AK182" s="75"/>
      <c r="AL182" s="75"/>
    </row>
    <row r="183" spans="1:38" ht="15.75" hidden="1" thickBot="1" x14ac:dyDescent="0.3">
      <c r="A183" s="75"/>
      <c r="B183" s="75"/>
      <c r="C183" s="35">
        <f>INDEX(Données!$F$2:$L$54,MATCH(F183,Données!$F$2:$F$54,0),2)</f>
        <v>44032</v>
      </c>
      <c r="D183" s="29" t="str">
        <f t="shared" si="4"/>
        <v>#5</v>
      </c>
      <c r="E183" s="7">
        <f>Données!H31</f>
        <v>44033</v>
      </c>
      <c r="F183" s="6" t="str">
        <f>INDEX(Données!$F$2:$L$54,MATCH('#5'!E183,Données!$G$2:$G$54,1),1)</f>
        <v>30</v>
      </c>
      <c r="G183" s="18" t="str">
        <f t="shared" si="5"/>
        <v/>
      </c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1"/>
      <c r="W183" s="75"/>
      <c r="X183" s="75"/>
      <c r="Y183" s="75"/>
      <c r="Z183" s="96">
        <f>SUM(Tableau16[[#This Row],[A-1]:[G-5]])</f>
        <v>0</v>
      </c>
      <c r="AA183" s="96" t="str">
        <f>IF(AND(Z183&gt;0,Tableau16[[#This Row],[CDS]]=""),"Oui","Non")</f>
        <v>Non</v>
      </c>
      <c r="AB183" s="75"/>
      <c r="AC183" s="75"/>
      <c r="AD183" s="75"/>
      <c r="AE183" s="75"/>
      <c r="AF183" s="75"/>
      <c r="AG183" s="75"/>
      <c r="AH183" s="75"/>
      <c r="AI183" s="75"/>
      <c r="AJ183" s="81"/>
      <c r="AK183" s="75"/>
      <c r="AL183" s="75"/>
    </row>
    <row r="184" spans="1:38" ht="15.75" hidden="1" thickBot="1" x14ac:dyDescent="0.3">
      <c r="A184" s="75"/>
      <c r="B184" s="75"/>
      <c r="C184" s="35">
        <f>INDEX(Données!$F$2:$L$54,MATCH(F184,Données!$F$2:$F$54,0),2)</f>
        <v>44032</v>
      </c>
      <c r="D184" s="29" t="str">
        <f t="shared" si="4"/>
        <v>#5</v>
      </c>
      <c r="E184" s="7">
        <f>Données!I31</f>
        <v>44034</v>
      </c>
      <c r="F184" s="6" t="str">
        <f>INDEX(Données!$F$2:$L$54,MATCH('#5'!E184,Données!$G$2:$G$54,1),1)</f>
        <v>30</v>
      </c>
      <c r="G184" s="18" t="str">
        <f t="shared" si="5"/>
        <v/>
      </c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1"/>
      <c r="W184" s="75"/>
      <c r="X184" s="75"/>
      <c r="Y184" s="75"/>
      <c r="Z184" s="96">
        <f>SUM(Tableau16[[#This Row],[A-1]:[G-5]])</f>
        <v>0</v>
      </c>
      <c r="AA184" s="96" t="str">
        <f>IF(AND(Z184&gt;0,Tableau16[[#This Row],[CDS]]=""),"Oui","Non")</f>
        <v>Non</v>
      </c>
      <c r="AB184" s="75"/>
      <c r="AC184" s="75"/>
      <c r="AD184" s="75"/>
      <c r="AE184" s="75"/>
      <c r="AF184" s="75"/>
      <c r="AG184" s="75"/>
      <c r="AH184" s="75"/>
      <c r="AI184" s="75"/>
      <c r="AJ184" s="81"/>
      <c r="AK184" s="75"/>
      <c r="AL184" s="75"/>
    </row>
    <row r="185" spans="1:38" ht="15.75" hidden="1" thickBot="1" x14ac:dyDescent="0.3">
      <c r="A185" s="75"/>
      <c r="B185" s="75"/>
      <c r="C185" s="35">
        <f>INDEX(Données!$F$2:$L$54,MATCH(F185,Données!$F$2:$F$54,0),2)</f>
        <v>44032</v>
      </c>
      <c r="D185" s="29" t="str">
        <f t="shared" si="4"/>
        <v>#5</v>
      </c>
      <c r="E185" s="7">
        <f>Données!J31</f>
        <v>44035</v>
      </c>
      <c r="F185" s="6" t="str">
        <f>INDEX(Données!$F$2:$L$54,MATCH('#5'!E185,Données!$G$2:$G$54,1),1)</f>
        <v>30</v>
      </c>
      <c r="G185" s="18" t="str">
        <f t="shared" si="5"/>
        <v/>
      </c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1"/>
      <c r="W185" s="75"/>
      <c r="X185" s="75"/>
      <c r="Y185" s="75"/>
      <c r="Z185" s="96">
        <f>SUM(Tableau16[[#This Row],[A-1]:[G-5]])</f>
        <v>0</v>
      </c>
      <c r="AA185" s="96" t="str">
        <f>IF(AND(Z185&gt;0,Tableau16[[#This Row],[CDS]]=""),"Oui","Non")</f>
        <v>Non</v>
      </c>
      <c r="AB185" s="75"/>
      <c r="AC185" s="75"/>
      <c r="AD185" s="75"/>
      <c r="AE185" s="75"/>
      <c r="AF185" s="75"/>
      <c r="AG185" s="75"/>
      <c r="AH185" s="75"/>
      <c r="AI185" s="75"/>
      <c r="AJ185" s="81"/>
      <c r="AK185" s="75"/>
      <c r="AL185" s="75"/>
    </row>
    <row r="186" spans="1:38" ht="15.75" hidden="1" thickBot="1" x14ac:dyDescent="0.3">
      <c r="A186" s="75"/>
      <c r="B186" s="75"/>
      <c r="C186" s="35">
        <f>INDEX(Données!$F$2:$L$54,MATCH(F186,Données!$F$2:$F$54,0),2)</f>
        <v>44032</v>
      </c>
      <c r="D186" s="29" t="str">
        <f t="shared" si="4"/>
        <v>#5</v>
      </c>
      <c r="E186" s="7">
        <f>Données!K31</f>
        <v>44036</v>
      </c>
      <c r="F186" s="6" t="str">
        <f>INDEX(Données!$F$2:$L$54,MATCH('#5'!E186,Données!$G$2:$G$54,1),1)</f>
        <v>30</v>
      </c>
      <c r="G186" s="18" t="str">
        <f t="shared" si="5"/>
        <v/>
      </c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1"/>
      <c r="W186" s="75"/>
      <c r="X186" s="75"/>
      <c r="Y186" s="75"/>
      <c r="Z186" s="96">
        <f>SUM(Tableau16[[#This Row],[A-1]:[G-5]])</f>
        <v>0</v>
      </c>
      <c r="AA186" s="96" t="str">
        <f>IF(AND(Z186&gt;0,Tableau16[[#This Row],[CDS]]=""),"Oui","Non")</f>
        <v>Non</v>
      </c>
      <c r="AB186" s="75"/>
      <c r="AC186" s="75"/>
      <c r="AD186" s="75"/>
      <c r="AE186" s="75"/>
      <c r="AF186" s="75"/>
      <c r="AG186" s="75"/>
      <c r="AH186" s="75"/>
      <c r="AI186" s="75"/>
      <c r="AJ186" s="81"/>
      <c r="AK186" s="75"/>
      <c r="AL186" s="75"/>
    </row>
    <row r="187" spans="1:38" ht="15.75" hidden="1" thickBot="1" x14ac:dyDescent="0.3">
      <c r="A187" s="75"/>
      <c r="B187" s="75"/>
      <c r="C187" s="35">
        <f>INDEX(Données!$F$2:$L$54,MATCH(F187,Données!$F$2:$F$54,0),2)</f>
        <v>44032</v>
      </c>
      <c r="D187" s="29" t="str">
        <f t="shared" si="4"/>
        <v>#5</v>
      </c>
      <c r="E187" s="7">
        <f>Données!L31</f>
        <v>44037</v>
      </c>
      <c r="F187" s="6" t="str">
        <f>INDEX(Données!$F$2:$L$54,MATCH('#5'!E187,Données!$G$2:$G$54,1),1)</f>
        <v>30</v>
      </c>
      <c r="G187" s="18" t="str">
        <f t="shared" si="5"/>
        <v/>
      </c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1"/>
      <c r="W187" s="75"/>
      <c r="X187" s="75"/>
      <c r="Y187" s="75"/>
      <c r="Z187" s="96">
        <f>SUM(Tableau16[[#This Row],[A-1]:[G-5]])</f>
        <v>0</v>
      </c>
      <c r="AA187" s="96" t="str">
        <f>IF(AND(Z187&gt;0,Tableau16[[#This Row],[CDS]]=""),"Oui","Non")</f>
        <v>Non</v>
      </c>
      <c r="AB187" s="75"/>
      <c r="AC187" s="75"/>
      <c r="AD187" s="75"/>
      <c r="AE187" s="75"/>
      <c r="AF187" s="75"/>
      <c r="AG187" s="75"/>
      <c r="AH187" s="75"/>
      <c r="AI187" s="75"/>
      <c r="AJ187" s="81"/>
      <c r="AK187" s="75"/>
      <c r="AL187" s="75"/>
    </row>
    <row r="188" spans="1:38" ht="15.75" hidden="1" thickBot="1" x14ac:dyDescent="0.3">
      <c r="A188" s="75"/>
      <c r="B188" s="75"/>
      <c r="C188" s="35">
        <f>INDEX(Données!$F$2:$L$54,MATCH(F188,Données!$F$2:$F$54,0),2)</f>
        <v>44039</v>
      </c>
      <c r="D188" s="29" t="str">
        <f t="shared" si="4"/>
        <v>#5</v>
      </c>
      <c r="E188" s="7">
        <f>Données!G32</f>
        <v>44039</v>
      </c>
      <c r="F188" s="6" t="str">
        <f>INDEX(Données!$F$2:$L$54,MATCH('#5'!E188,Données!$G$2:$G$54,1),1)</f>
        <v>31</v>
      </c>
      <c r="G188" s="18" t="str">
        <f t="shared" si="5"/>
        <v/>
      </c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1"/>
      <c r="W188" s="75"/>
      <c r="X188" s="75"/>
      <c r="Y188" s="75"/>
      <c r="Z188" s="96">
        <f>SUM(Tableau16[[#This Row],[A-1]:[G-5]])</f>
        <v>0</v>
      </c>
      <c r="AA188" s="96" t="str">
        <f>IF(AND(Z188&gt;0,Tableau16[[#This Row],[CDS]]=""),"Oui","Non")</f>
        <v>Non</v>
      </c>
      <c r="AB188" s="75"/>
      <c r="AC188" s="75"/>
      <c r="AD188" s="75"/>
      <c r="AE188" s="75"/>
      <c r="AF188" s="75"/>
      <c r="AG188" s="75"/>
      <c r="AH188" s="75"/>
      <c r="AI188" s="75"/>
      <c r="AJ188" s="81"/>
      <c r="AK188" s="75"/>
      <c r="AL188" s="75"/>
    </row>
    <row r="189" spans="1:38" ht="15.75" hidden="1" thickBot="1" x14ac:dyDescent="0.3">
      <c r="A189" s="75"/>
      <c r="B189" s="75"/>
      <c r="C189" s="35">
        <f>INDEX(Données!$F$2:$L$54,MATCH(F189,Données!$F$2:$F$54,0),2)</f>
        <v>44039</v>
      </c>
      <c r="D189" s="29" t="str">
        <f t="shared" si="4"/>
        <v>#5</v>
      </c>
      <c r="E189" s="7">
        <f>Données!H32</f>
        <v>44040</v>
      </c>
      <c r="F189" s="6" t="str">
        <f>INDEX(Données!$F$2:$L$54,MATCH('#5'!E189,Données!$G$2:$G$54,1),1)</f>
        <v>31</v>
      </c>
      <c r="G189" s="18" t="str">
        <f t="shared" si="5"/>
        <v/>
      </c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1"/>
      <c r="W189" s="75"/>
      <c r="X189" s="75"/>
      <c r="Y189" s="75"/>
      <c r="Z189" s="96">
        <f>SUM(Tableau16[[#This Row],[A-1]:[G-5]])</f>
        <v>0</v>
      </c>
      <c r="AA189" s="96" t="str">
        <f>IF(AND(Z189&gt;0,Tableau16[[#This Row],[CDS]]=""),"Oui","Non")</f>
        <v>Non</v>
      </c>
      <c r="AB189" s="75"/>
      <c r="AC189" s="75"/>
      <c r="AD189" s="75"/>
      <c r="AE189" s="75"/>
      <c r="AF189" s="75"/>
      <c r="AG189" s="75"/>
      <c r="AH189" s="75"/>
      <c r="AI189" s="75"/>
      <c r="AJ189" s="81"/>
      <c r="AK189" s="75"/>
      <c r="AL189" s="75"/>
    </row>
    <row r="190" spans="1:38" ht="15.75" hidden="1" thickBot="1" x14ac:dyDescent="0.3">
      <c r="A190" s="75"/>
      <c r="B190" s="75"/>
      <c r="C190" s="35">
        <f>INDEX(Données!$F$2:$L$54,MATCH(F190,Données!$F$2:$F$54,0),2)</f>
        <v>44039</v>
      </c>
      <c r="D190" s="29" t="str">
        <f t="shared" si="4"/>
        <v>#5</v>
      </c>
      <c r="E190" s="7">
        <f>Données!I32</f>
        <v>44041</v>
      </c>
      <c r="F190" s="6" t="str">
        <f>INDEX(Données!$F$2:$L$54,MATCH('#5'!E190,Données!$G$2:$G$54,1),1)</f>
        <v>31</v>
      </c>
      <c r="G190" s="18" t="str">
        <f t="shared" si="5"/>
        <v/>
      </c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1"/>
      <c r="W190" s="75"/>
      <c r="X190" s="75"/>
      <c r="Y190" s="75"/>
      <c r="Z190" s="96">
        <f>SUM(Tableau16[[#This Row],[A-1]:[G-5]])</f>
        <v>0</v>
      </c>
      <c r="AA190" s="96" t="str">
        <f>IF(AND(Z190&gt;0,Tableau16[[#This Row],[CDS]]=""),"Oui","Non")</f>
        <v>Non</v>
      </c>
      <c r="AB190" s="75"/>
      <c r="AC190" s="75"/>
      <c r="AD190" s="75"/>
      <c r="AE190" s="75"/>
      <c r="AF190" s="75"/>
      <c r="AG190" s="75"/>
      <c r="AH190" s="75"/>
      <c r="AI190" s="75"/>
      <c r="AJ190" s="81"/>
      <c r="AK190" s="75"/>
      <c r="AL190" s="75"/>
    </row>
    <row r="191" spans="1:38" ht="15.75" hidden="1" thickBot="1" x14ac:dyDescent="0.3">
      <c r="A191" s="75"/>
      <c r="B191" s="75"/>
      <c r="C191" s="35">
        <f>INDEX(Données!$F$2:$L$54,MATCH(F191,Données!$F$2:$F$54,0),2)</f>
        <v>44039</v>
      </c>
      <c r="D191" s="29" t="str">
        <f t="shared" si="4"/>
        <v>#5</v>
      </c>
      <c r="E191" s="7">
        <f>Données!J32</f>
        <v>44042</v>
      </c>
      <c r="F191" s="6" t="str">
        <f>INDEX(Données!$F$2:$L$54,MATCH('#5'!E191,Données!$G$2:$G$54,1),1)</f>
        <v>31</v>
      </c>
      <c r="G191" s="18" t="str">
        <f t="shared" si="5"/>
        <v/>
      </c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1"/>
      <c r="W191" s="75"/>
      <c r="X191" s="75"/>
      <c r="Y191" s="75"/>
      <c r="Z191" s="96">
        <f>SUM(Tableau16[[#This Row],[A-1]:[G-5]])</f>
        <v>0</v>
      </c>
      <c r="AA191" s="96" t="str">
        <f>IF(AND(Z191&gt;0,Tableau16[[#This Row],[CDS]]=""),"Oui","Non")</f>
        <v>Non</v>
      </c>
      <c r="AB191" s="75"/>
      <c r="AC191" s="75"/>
      <c r="AD191" s="75"/>
      <c r="AE191" s="75"/>
      <c r="AF191" s="75"/>
      <c r="AG191" s="75"/>
      <c r="AH191" s="75"/>
      <c r="AI191" s="75"/>
      <c r="AJ191" s="81"/>
      <c r="AK191" s="75"/>
      <c r="AL191" s="75"/>
    </row>
    <row r="192" spans="1:38" ht="15.75" hidden="1" thickBot="1" x14ac:dyDescent="0.3">
      <c r="A192" s="75"/>
      <c r="B192" s="75"/>
      <c r="C192" s="35">
        <f>INDEX(Données!$F$2:$L$54,MATCH(F192,Données!$F$2:$F$54,0),2)</f>
        <v>44039</v>
      </c>
      <c r="D192" s="29" t="str">
        <f t="shared" si="4"/>
        <v>#5</v>
      </c>
      <c r="E192" s="7">
        <f>Données!K32</f>
        <v>44043</v>
      </c>
      <c r="F192" s="6" t="str">
        <f>INDEX(Données!$F$2:$L$54,MATCH('#5'!E192,Données!$G$2:$G$54,1),1)</f>
        <v>31</v>
      </c>
      <c r="G192" s="18" t="str">
        <f t="shared" si="5"/>
        <v/>
      </c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1"/>
      <c r="W192" s="75"/>
      <c r="X192" s="75"/>
      <c r="Y192" s="75"/>
      <c r="Z192" s="96">
        <f>SUM(Tableau16[[#This Row],[A-1]:[G-5]])</f>
        <v>0</v>
      </c>
      <c r="AA192" s="96" t="str">
        <f>IF(AND(Z192&gt;0,Tableau16[[#This Row],[CDS]]=""),"Oui","Non")</f>
        <v>Non</v>
      </c>
      <c r="AB192" s="75"/>
      <c r="AC192" s="75"/>
      <c r="AD192" s="75"/>
      <c r="AE192" s="75"/>
      <c r="AF192" s="75"/>
      <c r="AG192" s="75"/>
      <c r="AH192" s="75"/>
      <c r="AI192" s="75"/>
      <c r="AJ192" s="81"/>
      <c r="AK192" s="75"/>
      <c r="AL192" s="75"/>
    </row>
    <row r="193" spans="1:38" ht="15.75" hidden="1" thickBot="1" x14ac:dyDescent="0.3">
      <c r="A193" s="75"/>
      <c r="B193" s="75"/>
      <c r="C193" s="35">
        <f>INDEX(Données!$F$2:$L$54,MATCH(F193,Données!$F$2:$F$54,0),2)</f>
        <v>44039</v>
      </c>
      <c r="D193" s="29" t="str">
        <f t="shared" si="4"/>
        <v>#5</v>
      </c>
      <c r="E193" s="7">
        <f>Données!L32</f>
        <v>44044</v>
      </c>
      <c r="F193" s="6" t="str">
        <f>INDEX(Données!$F$2:$L$54,MATCH('#5'!E193,Données!$G$2:$G$54,1),1)</f>
        <v>31</v>
      </c>
      <c r="G193" s="18" t="str">
        <f t="shared" si="5"/>
        <v/>
      </c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1"/>
      <c r="W193" s="75"/>
      <c r="X193" s="75"/>
      <c r="Y193" s="75"/>
      <c r="Z193" s="96">
        <f>SUM(Tableau16[[#This Row],[A-1]:[G-5]])</f>
        <v>0</v>
      </c>
      <c r="AA193" s="96" t="str">
        <f>IF(AND(Z193&gt;0,Tableau16[[#This Row],[CDS]]=""),"Oui","Non")</f>
        <v>Non</v>
      </c>
      <c r="AB193" s="75"/>
      <c r="AC193" s="75"/>
      <c r="AD193" s="75"/>
      <c r="AE193" s="75"/>
      <c r="AF193" s="75"/>
      <c r="AG193" s="75"/>
      <c r="AH193" s="75"/>
      <c r="AI193" s="75"/>
      <c r="AJ193" s="81"/>
      <c r="AK193" s="75"/>
      <c r="AL193" s="75"/>
    </row>
    <row r="194" spans="1:38" ht="15.75" hidden="1" thickBot="1" x14ac:dyDescent="0.3">
      <c r="A194" s="75"/>
      <c r="B194" s="75"/>
      <c r="C194" s="35">
        <f>INDEX(Données!$F$2:$L$54,MATCH(F194,Données!$F$2:$F$54,0),2)</f>
        <v>44046</v>
      </c>
      <c r="D194" s="29" t="str">
        <f t="shared" si="4"/>
        <v>#5</v>
      </c>
      <c r="E194" s="7">
        <f>Données!G33</f>
        <v>44046</v>
      </c>
      <c r="F194" s="6" t="str">
        <f>INDEX(Données!$F$2:$L$54,MATCH('#5'!E194,Données!$G$2:$G$54,1),1)</f>
        <v>32</v>
      </c>
      <c r="G194" s="18" t="str">
        <f t="shared" si="5"/>
        <v/>
      </c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1"/>
      <c r="W194" s="75"/>
      <c r="X194" s="75"/>
      <c r="Y194" s="75"/>
      <c r="Z194" s="96">
        <f>SUM(Tableau16[[#This Row],[A-1]:[G-5]])</f>
        <v>0</v>
      </c>
      <c r="AA194" s="96" t="str">
        <f>IF(AND(Z194&gt;0,Tableau16[[#This Row],[CDS]]=""),"Oui","Non")</f>
        <v>Non</v>
      </c>
      <c r="AB194" s="75"/>
      <c r="AC194" s="75"/>
      <c r="AD194" s="75"/>
      <c r="AE194" s="75"/>
      <c r="AF194" s="75"/>
      <c r="AG194" s="75"/>
      <c r="AH194" s="75"/>
      <c r="AI194" s="75"/>
      <c r="AJ194" s="81"/>
      <c r="AK194" s="75"/>
      <c r="AL194" s="75"/>
    </row>
    <row r="195" spans="1:38" ht="15.75" hidden="1" thickBot="1" x14ac:dyDescent="0.3">
      <c r="A195" s="75"/>
      <c r="B195" s="75"/>
      <c r="C195" s="35">
        <f>INDEX(Données!$F$2:$L$54,MATCH(F195,Données!$F$2:$F$54,0),2)</f>
        <v>44046</v>
      </c>
      <c r="D195" s="29" t="str">
        <f t="shared" si="4"/>
        <v>#5</v>
      </c>
      <c r="E195" s="7">
        <f>Données!H33</f>
        <v>44047</v>
      </c>
      <c r="F195" s="6" t="str">
        <f>INDEX(Données!$F$2:$L$54,MATCH('#5'!E195,Données!$G$2:$G$54,1),1)</f>
        <v>32</v>
      </c>
      <c r="G195" s="18" t="str">
        <f t="shared" si="5"/>
        <v/>
      </c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1"/>
      <c r="W195" s="75"/>
      <c r="X195" s="75"/>
      <c r="Y195" s="75"/>
      <c r="Z195" s="96">
        <f>SUM(Tableau16[[#This Row],[A-1]:[G-5]])</f>
        <v>0</v>
      </c>
      <c r="AA195" s="96" t="str">
        <f>IF(AND(Z195&gt;0,Tableau16[[#This Row],[CDS]]=""),"Oui","Non")</f>
        <v>Non</v>
      </c>
      <c r="AB195" s="75"/>
      <c r="AC195" s="75"/>
      <c r="AD195" s="75"/>
      <c r="AE195" s="75"/>
      <c r="AF195" s="75"/>
      <c r="AG195" s="75"/>
      <c r="AH195" s="75"/>
      <c r="AI195" s="75"/>
      <c r="AJ195" s="81"/>
      <c r="AK195" s="75"/>
      <c r="AL195" s="75"/>
    </row>
    <row r="196" spans="1:38" ht="15.75" hidden="1" thickBot="1" x14ac:dyDescent="0.3">
      <c r="A196" s="75"/>
      <c r="B196" s="75"/>
      <c r="C196" s="35">
        <f>INDEX(Données!$F$2:$L$54,MATCH(F196,Données!$F$2:$F$54,0),2)</f>
        <v>44046</v>
      </c>
      <c r="D196" s="29" t="str">
        <f t="shared" si="4"/>
        <v>#5</v>
      </c>
      <c r="E196" s="7">
        <f>Données!I33</f>
        <v>44048</v>
      </c>
      <c r="F196" s="6" t="str">
        <f>INDEX(Données!$F$2:$L$54,MATCH('#5'!E196,Données!$G$2:$G$54,1),1)</f>
        <v>32</v>
      </c>
      <c r="G196" s="18" t="str">
        <f t="shared" si="5"/>
        <v/>
      </c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1"/>
      <c r="W196" s="75"/>
      <c r="X196" s="75"/>
      <c r="Y196" s="75"/>
      <c r="Z196" s="96">
        <f>SUM(Tableau16[[#This Row],[A-1]:[G-5]])</f>
        <v>0</v>
      </c>
      <c r="AA196" s="96" t="str">
        <f>IF(AND(Z196&gt;0,Tableau16[[#This Row],[CDS]]=""),"Oui","Non")</f>
        <v>Non</v>
      </c>
      <c r="AB196" s="75"/>
      <c r="AC196" s="75"/>
      <c r="AD196" s="75"/>
      <c r="AE196" s="75"/>
      <c r="AF196" s="75"/>
      <c r="AG196" s="75"/>
      <c r="AH196" s="75"/>
      <c r="AI196" s="75"/>
      <c r="AJ196" s="81"/>
      <c r="AK196" s="75"/>
      <c r="AL196" s="75"/>
    </row>
    <row r="197" spans="1:38" ht="15.75" hidden="1" thickBot="1" x14ac:dyDescent="0.3">
      <c r="A197" s="75"/>
      <c r="B197" s="75"/>
      <c r="C197" s="35">
        <f>INDEX(Données!$F$2:$L$54,MATCH(F197,Données!$F$2:$F$54,0),2)</f>
        <v>44046</v>
      </c>
      <c r="D197" s="29" t="str">
        <f t="shared" si="4"/>
        <v>#5</v>
      </c>
      <c r="E197" s="7">
        <f>Données!J33</f>
        <v>44049</v>
      </c>
      <c r="F197" s="6" t="str">
        <f>INDEX(Données!$F$2:$L$54,MATCH('#5'!E197,Données!$G$2:$G$54,1),1)</f>
        <v>32</v>
      </c>
      <c r="G197" s="18" t="str">
        <f t="shared" si="5"/>
        <v/>
      </c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1"/>
      <c r="W197" s="75"/>
      <c r="X197" s="75"/>
      <c r="Y197" s="75"/>
      <c r="Z197" s="96">
        <f>SUM(Tableau16[[#This Row],[A-1]:[G-5]])</f>
        <v>0</v>
      </c>
      <c r="AA197" s="96" t="str">
        <f>IF(AND(Z197&gt;0,Tableau16[[#This Row],[CDS]]=""),"Oui","Non")</f>
        <v>Non</v>
      </c>
      <c r="AB197" s="75"/>
      <c r="AC197" s="75"/>
      <c r="AD197" s="75"/>
      <c r="AE197" s="75"/>
      <c r="AF197" s="75"/>
      <c r="AG197" s="75"/>
      <c r="AH197" s="75"/>
      <c r="AI197" s="75"/>
      <c r="AJ197" s="81"/>
      <c r="AK197" s="75"/>
      <c r="AL197" s="75"/>
    </row>
    <row r="198" spans="1:38" ht="15.75" hidden="1" thickBot="1" x14ac:dyDescent="0.3">
      <c r="A198" s="75"/>
      <c r="B198" s="75"/>
      <c r="C198" s="35">
        <f>INDEX(Données!$F$2:$L$54,MATCH(F198,Données!$F$2:$F$54,0),2)</f>
        <v>44046</v>
      </c>
      <c r="D198" s="29" t="str">
        <f t="shared" si="4"/>
        <v>#5</v>
      </c>
      <c r="E198" s="7">
        <f>Données!K33</f>
        <v>44050</v>
      </c>
      <c r="F198" s="6" t="str">
        <f>INDEX(Données!$F$2:$L$54,MATCH('#5'!E198,Données!$G$2:$G$54,1),1)</f>
        <v>32</v>
      </c>
      <c r="G198" s="18" t="str">
        <f t="shared" si="5"/>
        <v/>
      </c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1"/>
      <c r="W198" s="75"/>
      <c r="X198" s="75"/>
      <c r="Y198" s="75"/>
      <c r="Z198" s="96">
        <f>SUM(Tableau16[[#This Row],[A-1]:[G-5]])</f>
        <v>0</v>
      </c>
      <c r="AA198" s="96" t="str">
        <f>IF(AND(Z198&gt;0,Tableau16[[#This Row],[CDS]]=""),"Oui","Non")</f>
        <v>Non</v>
      </c>
      <c r="AB198" s="75"/>
      <c r="AC198" s="75"/>
      <c r="AD198" s="75"/>
      <c r="AE198" s="75"/>
      <c r="AF198" s="75"/>
      <c r="AG198" s="75"/>
      <c r="AH198" s="75"/>
      <c r="AI198" s="75"/>
      <c r="AJ198" s="81"/>
      <c r="AK198" s="75"/>
      <c r="AL198" s="75"/>
    </row>
    <row r="199" spans="1:38" ht="15.75" hidden="1" thickBot="1" x14ac:dyDescent="0.3">
      <c r="A199" s="75"/>
      <c r="B199" s="75"/>
      <c r="C199" s="35">
        <f>INDEX(Données!$F$2:$L$54,MATCH(F199,Données!$F$2:$F$54,0),2)</f>
        <v>44046</v>
      </c>
      <c r="D199" s="29" t="str">
        <f t="shared" si="4"/>
        <v>#5</v>
      </c>
      <c r="E199" s="7">
        <f>Données!L33</f>
        <v>44051</v>
      </c>
      <c r="F199" s="6" t="str">
        <f>INDEX(Données!$F$2:$L$54,MATCH('#5'!E199,Données!$G$2:$G$54,1),1)</f>
        <v>32</v>
      </c>
      <c r="G199" s="18" t="str">
        <f t="shared" si="5"/>
        <v/>
      </c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1"/>
      <c r="W199" s="75"/>
      <c r="X199" s="75"/>
      <c r="Y199" s="75"/>
      <c r="Z199" s="96">
        <f>SUM(Tableau16[[#This Row],[A-1]:[G-5]])</f>
        <v>0</v>
      </c>
      <c r="AA199" s="96" t="str">
        <f>IF(AND(Z199&gt;0,Tableau16[[#This Row],[CDS]]=""),"Oui","Non")</f>
        <v>Non</v>
      </c>
      <c r="AB199" s="75"/>
      <c r="AC199" s="75"/>
      <c r="AD199" s="75"/>
      <c r="AE199" s="75"/>
      <c r="AF199" s="75"/>
      <c r="AG199" s="75"/>
      <c r="AH199" s="75"/>
      <c r="AI199" s="75"/>
      <c r="AJ199" s="81"/>
      <c r="AK199" s="75"/>
      <c r="AL199" s="75"/>
    </row>
    <row r="200" spans="1:38" ht="15.75" hidden="1" thickBot="1" x14ac:dyDescent="0.3">
      <c r="A200" s="75"/>
      <c r="B200" s="75"/>
      <c r="C200" s="35">
        <f>INDEX(Données!$F$2:$L$54,MATCH(F200,Données!$F$2:$F$54,0),2)</f>
        <v>44053</v>
      </c>
      <c r="D200" s="29" t="str">
        <f t="shared" ref="D200:D263" si="6">$E$4</f>
        <v>#5</v>
      </c>
      <c r="E200" s="7">
        <f>Données!G34</f>
        <v>44053</v>
      </c>
      <c r="F200" s="6" t="str">
        <f>INDEX(Données!$F$2:$L$54,MATCH('#5'!E200,Données!$G$2:$G$54,1),1)</f>
        <v>33</v>
      </c>
      <c r="G200" s="18" t="str">
        <f t="shared" ref="G200:G263" si="7">IF(AND($V$5=1),"PS-1",IF(AND($V$5=2),"PS-2",IF(AND($V$5=4),"PS-4",IF(AND($V$5=6),"S.O.",IF(AND($V$5=5),"")))))</f>
        <v/>
      </c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1"/>
      <c r="W200" s="75"/>
      <c r="X200" s="75"/>
      <c r="Y200" s="75"/>
      <c r="Z200" s="96">
        <f>SUM(Tableau16[[#This Row],[A-1]:[G-5]])</f>
        <v>0</v>
      </c>
      <c r="AA200" s="96" t="str">
        <f>IF(AND(Z200&gt;0,Tableau16[[#This Row],[CDS]]=""),"Oui","Non")</f>
        <v>Non</v>
      </c>
      <c r="AB200" s="75"/>
      <c r="AC200" s="75"/>
      <c r="AD200" s="75"/>
      <c r="AE200" s="75"/>
      <c r="AF200" s="75"/>
      <c r="AG200" s="75"/>
      <c r="AH200" s="75"/>
      <c r="AI200" s="75"/>
      <c r="AJ200" s="81"/>
      <c r="AK200" s="75"/>
      <c r="AL200" s="75"/>
    </row>
    <row r="201" spans="1:38" ht="15.75" hidden="1" thickBot="1" x14ac:dyDescent="0.3">
      <c r="A201" s="75"/>
      <c r="B201" s="75"/>
      <c r="C201" s="35">
        <f>INDEX(Données!$F$2:$L$54,MATCH(F201,Données!$F$2:$F$54,0),2)</f>
        <v>44053</v>
      </c>
      <c r="D201" s="29" t="str">
        <f t="shared" si="6"/>
        <v>#5</v>
      </c>
      <c r="E201" s="7">
        <f>Données!H34</f>
        <v>44054</v>
      </c>
      <c r="F201" s="6" t="str">
        <f>INDEX(Données!$F$2:$L$54,MATCH('#5'!E201,Données!$G$2:$G$54,1),1)</f>
        <v>33</v>
      </c>
      <c r="G201" s="18" t="str">
        <f t="shared" si="7"/>
        <v/>
      </c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1"/>
      <c r="W201" s="75"/>
      <c r="X201" s="75"/>
      <c r="Y201" s="75"/>
      <c r="Z201" s="96">
        <f>SUM(Tableau16[[#This Row],[A-1]:[G-5]])</f>
        <v>0</v>
      </c>
      <c r="AA201" s="96" t="str">
        <f>IF(AND(Z201&gt;0,Tableau16[[#This Row],[CDS]]=""),"Oui","Non")</f>
        <v>Non</v>
      </c>
      <c r="AB201" s="75"/>
      <c r="AC201" s="75"/>
      <c r="AD201" s="75"/>
      <c r="AE201" s="75"/>
      <c r="AF201" s="75"/>
      <c r="AG201" s="75"/>
      <c r="AH201" s="75"/>
      <c r="AI201" s="75"/>
      <c r="AJ201" s="81"/>
      <c r="AK201" s="75"/>
      <c r="AL201" s="75"/>
    </row>
    <row r="202" spans="1:38" ht="15.75" hidden="1" thickBot="1" x14ac:dyDescent="0.3">
      <c r="A202" s="75"/>
      <c r="B202" s="75"/>
      <c r="C202" s="35">
        <f>INDEX(Données!$F$2:$L$54,MATCH(F202,Données!$F$2:$F$54,0),2)</f>
        <v>44053</v>
      </c>
      <c r="D202" s="29" t="str">
        <f t="shared" si="6"/>
        <v>#5</v>
      </c>
      <c r="E202" s="7">
        <f>Données!I34</f>
        <v>44055</v>
      </c>
      <c r="F202" s="6" t="str">
        <f>INDEX(Données!$F$2:$L$54,MATCH('#5'!E202,Données!$G$2:$G$54,1),1)</f>
        <v>33</v>
      </c>
      <c r="G202" s="18" t="str">
        <f t="shared" si="7"/>
        <v/>
      </c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1"/>
      <c r="W202" s="75"/>
      <c r="X202" s="75"/>
      <c r="Y202" s="75"/>
      <c r="Z202" s="96">
        <f>SUM(Tableau16[[#This Row],[A-1]:[G-5]])</f>
        <v>0</v>
      </c>
      <c r="AA202" s="96" t="str">
        <f>IF(AND(Z202&gt;0,Tableau16[[#This Row],[CDS]]=""),"Oui","Non")</f>
        <v>Non</v>
      </c>
      <c r="AB202" s="75"/>
      <c r="AC202" s="75"/>
      <c r="AD202" s="75"/>
      <c r="AE202" s="75"/>
      <c r="AF202" s="75"/>
      <c r="AG202" s="75"/>
      <c r="AH202" s="75"/>
      <c r="AI202" s="75"/>
      <c r="AJ202" s="81"/>
      <c r="AK202" s="75"/>
      <c r="AL202" s="75"/>
    </row>
    <row r="203" spans="1:38" ht="15.75" hidden="1" thickBot="1" x14ac:dyDescent="0.3">
      <c r="A203" s="75"/>
      <c r="B203" s="75"/>
      <c r="C203" s="35">
        <f>INDEX(Données!$F$2:$L$54,MATCH(F203,Données!$F$2:$F$54,0),2)</f>
        <v>44053</v>
      </c>
      <c r="D203" s="29" t="str">
        <f t="shared" si="6"/>
        <v>#5</v>
      </c>
      <c r="E203" s="7">
        <f>Données!J34</f>
        <v>44056</v>
      </c>
      <c r="F203" s="6" t="str">
        <f>INDEX(Données!$F$2:$L$54,MATCH('#5'!E203,Données!$G$2:$G$54,1),1)</f>
        <v>33</v>
      </c>
      <c r="G203" s="18" t="str">
        <f t="shared" si="7"/>
        <v/>
      </c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1"/>
      <c r="W203" s="75"/>
      <c r="X203" s="75"/>
      <c r="Y203" s="75"/>
      <c r="Z203" s="96">
        <f>SUM(Tableau16[[#This Row],[A-1]:[G-5]])</f>
        <v>0</v>
      </c>
      <c r="AA203" s="96" t="str">
        <f>IF(AND(Z203&gt;0,Tableau16[[#This Row],[CDS]]=""),"Oui","Non")</f>
        <v>Non</v>
      </c>
      <c r="AB203" s="75"/>
      <c r="AC203" s="75"/>
      <c r="AD203" s="75"/>
      <c r="AE203" s="75"/>
      <c r="AF203" s="75"/>
      <c r="AG203" s="75"/>
      <c r="AH203" s="75"/>
      <c r="AI203" s="75"/>
      <c r="AJ203" s="81"/>
      <c r="AK203" s="75"/>
      <c r="AL203" s="75"/>
    </row>
    <row r="204" spans="1:38" ht="15.75" hidden="1" thickBot="1" x14ac:dyDescent="0.3">
      <c r="A204" s="75"/>
      <c r="B204" s="75"/>
      <c r="C204" s="35">
        <f>INDEX(Données!$F$2:$L$54,MATCH(F204,Données!$F$2:$F$54,0),2)</f>
        <v>44053</v>
      </c>
      <c r="D204" s="29" t="str">
        <f t="shared" si="6"/>
        <v>#5</v>
      </c>
      <c r="E204" s="7">
        <f>Données!K34</f>
        <v>44057</v>
      </c>
      <c r="F204" s="6" t="str">
        <f>INDEX(Données!$F$2:$L$54,MATCH('#5'!E204,Données!$G$2:$G$54,1),1)</f>
        <v>33</v>
      </c>
      <c r="G204" s="18" t="str">
        <f t="shared" si="7"/>
        <v/>
      </c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1"/>
      <c r="W204" s="75"/>
      <c r="X204" s="75"/>
      <c r="Y204" s="75"/>
      <c r="Z204" s="96">
        <f>SUM(Tableau16[[#This Row],[A-1]:[G-5]])</f>
        <v>0</v>
      </c>
      <c r="AA204" s="96" t="str">
        <f>IF(AND(Z204&gt;0,Tableau16[[#This Row],[CDS]]=""),"Oui","Non")</f>
        <v>Non</v>
      </c>
      <c r="AB204" s="75"/>
      <c r="AC204" s="75"/>
      <c r="AD204" s="75"/>
      <c r="AE204" s="75"/>
      <c r="AF204" s="75"/>
      <c r="AG204" s="75"/>
      <c r="AH204" s="75"/>
      <c r="AI204" s="75"/>
      <c r="AJ204" s="81"/>
      <c r="AK204" s="75"/>
      <c r="AL204" s="75"/>
    </row>
    <row r="205" spans="1:38" ht="15.75" hidden="1" thickBot="1" x14ac:dyDescent="0.3">
      <c r="A205" s="75"/>
      <c r="B205" s="75"/>
      <c r="C205" s="35">
        <f>INDEX(Données!$F$2:$L$54,MATCH(F205,Données!$F$2:$F$54,0),2)</f>
        <v>44053</v>
      </c>
      <c r="D205" s="29" t="str">
        <f t="shared" si="6"/>
        <v>#5</v>
      </c>
      <c r="E205" s="7">
        <f>Données!L34</f>
        <v>44058</v>
      </c>
      <c r="F205" s="6" t="str">
        <f>INDEX(Données!$F$2:$L$54,MATCH('#5'!E205,Données!$G$2:$G$54,1),1)</f>
        <v>33</v>
      </c>
      <c r="G205" s="18" t="str">
        <f t="shared" si="7"/>
        <v/>
      </c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1"/>
      <c r="W205" s="75"/>
      <c r="X205" s="75"/>
      <c r="Y205" s="75"/>
      <c r="Z205" s="96">
        <f>SUM(Tableau16[[#This Row],[A-1]:[G-5]])</f>
        <v>0</v>
      </c>
      <c r="AA205" s="96" t="str">
        <f>IF(AND(Z205&gt;0,Tableau16[[#This Row],[CDS]]=""),"Oui","Non")</f>
        <v>Non</v>
      </c>
      <c r="AB205" s="75"/>
      <c r="AC205" s="75"/>
      <c r="AD205" s="75"/>
      <c r="AE205" s="75"/>
      <c r="AF205" s="75"/>
      <c r="AG205" s="75"/>
      <c r="AH205" s="75"/>
      <c r="AI205" s="75"/>
      <c r="AJ205" s="81"/>
      <c r="AK205" s="75"/>
      <c r="AL205" s="75"/>
    </row>
    <row r="206" spans="1:38" ht="15.75" hidden="1" thickBot="1" x14ac:dyDescent="0.3">
      <c r="A206" s="75"/>
      <c r="B206" s="75"/>
      <c r="C206" s="35">
        <f>INDEX(Données!$F$2:$L$54,MATCH(F206,Données!$F$2:$F$54,0),2)</f>
        <v>44060</v>
      </c>
      <c r="D206" s="29" t="str">
        <f t="shared" si="6"/>
        <v>#5</v>
      </c>
      <c r="E206" s="7">
        <f>Données!G35</f>
        <v>44060</v>
      </c>
      <c r="F206" s="6" t="str">
        <f>INDEX(Données!$F$2:$L$54,MATCH('#5'!E206,Données!$G$2:$G$54,1),1)</f>
        <v>34</v>
      </c>
      <c r="G206" s="18" t="str">
        <f t="shared" si="7"/>
        <v/>
      </c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1"/>
      <c r="W206" s="75"/>
      <c r="X206" s="75"/>
      <c r="Y206" s="75"/>
      <c r="Z206" s="96">
        <f>SUM(Tableau16[[#This Row],[A-1]:[G-5]])</f>
        <v>0</v>
      </c>
      <c r="AA206" s="96" t="str">
        <f>IF(AND(Z206&gt;0,Tableau16[[#This Row],[CDS]]=""),"Oui","Non")</f>
        <v>Non</v>
      </c>
      <c r="AB206" s="75"/>
      <c r="AC206" s="75"/>
      <c r="AD206" s="75"/>
      <c r="AE206" s="75"/>
      <c r="AF206" s="75"/>
      <c r="AG206" s="75"/>
      <c r="AH206" s="75"/>
      <c r="AI206" s="75"/>
      <c r="AJ206" s="81"/>
      <c r="AK206" s="75"/>
      <c r="AL206" s="75"/>
    </row>
    <row r="207" spans="1:38" ht="15.75" hidden="1" thickBot="1" x14ac:dyDescent="0.3">
      <c r="A207" s="75"/>
      <c r="B207" s="75"/>
      <c r="C207" s="35">
        <f>INDEX(Données!$F$2:$L$54,MATCH(F207,Données!$F$2:$F$54,0),2)</f>
        <v>44060</v>
      </c>
      <c r="D207" s="29" t="str">
        <f t="shared" si="6"/>
        <v>#5</v>
      </c>
      <c r="E207" s="7">
        <f>Données!H35</f>
        <v>44061</v>
      </c>
      <c r="F207" s="6" t="str">
        <f>INDEX(Données!$F$2:$L$54,MATCH('#5'!E207,Données!$G$2:$G$54,1),1)</f>
        <v>34</v>
      </c>
      <c r="G207" s="18" t="str">
        <f t="shared" si="7"/>
        <v/>
      </c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1"/>
      <c r="W207" s="75"/>
      <c r="X207" s="75"/>
      <c r="Y207" s="75"/>
      <c r="Z207" s="96">
        <f>SUM(Tableau16[[#This Row],[A-1]:[G-5]])</f>
        <v>0</v>
      </c>
      <c r="AA207" s="96" t="str">
        <f>IF(AND(Z207&gt;0,Tableau16[[#This Row],[CDS]]=""),"Oui","Non")</f>
        <v>Non</v>
      </c>
      <c r="AB207" s="75"/>
      <c r="AC207" s="75"/>
      <c r="AD207" s="75"/>
      <c r="AE207" s="75"/>
      <c r="AF207" s="75"/>
      <c r="AG207" s="75"/>
      <c r="AH207" s="75"/>
      <c r="AI207" s="75"/>
      <c r="AJ207" s="81"/>
      <c r="AK207" s="75"/>
      <c r="AL207" s="75"/>
    </row>
    <row r="208" spans="1:38" ht="15.75" hidden="1" thickBot="1" x14ac:dyDescent="0.3">
      <c r="A208" s="75"/>
      <c r="B208" s="75"/>
      <c r="C208" s="35">
        <f>INDEX(Données!$F$2:$L$54,MATCH(F208,Données!$F$2:$F$54,0),2)</f>
        <v>44060</v>
      </c>
      <c r="D208" s="29" t="str">
        <f t="shared" si="6"/>
        <v>#5</v>
      </c>
      <c r="E208" s="7">
        <f>Données!I35</f>
        <v>44062</v>
      </c>
      <c r="F208" s="6" t="str">
        <f>INDEX(Données!$F$2:$L$54,MATCH('#5'!E208,Données!$G$2:$G$54,1),1)</f>
        <v>34</v>
      </c>
      <c r="G208" s="18" t="str">
        <f t="shared" si="7"/>
        <v/>
      </c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1"/>
      <c r="W208" s="75"/>
      <c r="X208" s="75"/>
      <c r="Y208" s="75"/>
      <c r="Z208" s="96">
        <f>SUM(Tableau16[[#This Row],[A-1]:[G-5]])</f>
        <v>0</v>
      </c>
      <c r="AA208" s="96" t="str">
        <f>IF(AND(Z208&gt;0,Tableau16[[#This Row],[CDS]]=""),"Oui","Non")</f>
        <v>Non</v>
      </c>
      <c r="AB208" s="75"/>
      <c r="AC208" s="75"/>
      <c r="AD208" s="75"/>
      <c r="AE208" s="75"/>
      <c r="AF208" s="75"/>
      <c r="AG208" s="75"/>
      <c r="AH208" s="75"/>
      <c r="AI208" s="75"/>
      <c r="AJ208" s="81"/>
      <c r="AK208" s="75"/>
      <c r="AL208" s="75"/>
    </row>
    <row r="209" spans="1:38" ht="15.75" hidden="1" thickBot="1" x14ac:dyDescent="0.3">
      <c r="A209" s="75"/>
      <c r="B209" s="75"/>
      <c r="C209" s="35">
        <f>INDEX(Données!$F$2:$L$54,MATCH(F209,Données!$F$2:$F$54,0),2)</f>
        <v>44060</v>
      </c>
      <c r="D209" s="29" t="str">
        <f t="shared" si="6"/>
        <v>#5</v>
      </c>
      <c r="E209" s="7">
        <f>Données!J35</f>
        <v>44063</v>
      </c>
      <c r="F209" s="6" t="str">
        <f>INDEX(Données!$F$2:$L$54,MATCH('#5'!E209,Données!$G$2:$G$54,1),1)</f>
        <v>34</v>
      </c>
      <c r="G209" s="18" t="str">
        <f t="shared" si="7"/>
        <v/>
      </c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1"/>
      <c r="W209" s="75"/>
      <c r="X209" s="75"/>
      <c r="Y209" s="75"/>
      <c r="Z209" s="96">
        <f>SUM(Tableau16[[#This Row],[A-1]:[G-5]])</f>
        <v>0</v>
      </c>
      <c r="AA209" s="96" t="str">
        <f>IF(AND(Z209&gt;0,Tableau16[[#This Row],[CDS]]=""),"Oui","Non")</f>
        <v>Non</v>
      </c>
      <c r="AB209" s="75"/>
      <c r="AC209" s="75"/>
      <c r="AD209" s="75"/>
      <c r="AE209" s="75"/>
      <c r="AF209" s="75"/>
      <c r="AG209" s="75"/>
      <c r="AH209" s="75"/>
      <c r="AI209" s="75"/>
      <c r="AJ209" s="81"/>
      <c r="AK209" s="75"/>
      <c r="AL209" s="75"/>
    </row>
    <row r="210" spans="1:38" ht="15.75" hidden="1" thickBot="1" x14ac:dyDescent="0.3">
      <c r="A210" s="75"/>
      <c r="B210" s="75"/>
      <c r="C210" s="35">
        <f>INDEX(Données!$F$2:$L$54,MATCH(F210,Données!$F$2:$F$54,0),2)</f>
        <v>44060</v>
      </c>
      <c r="D210" s="29" t="str">
        <f t="shared" si="6"/>
        <v>#5</v>
      </c>
      <c r="E210" s="7">
        <f>Données!K35</f>
        <v>44064</v>
      </c>
      <c r="F210" s="6" t="str">
        <f>INDEX(Données!$F$2:$L$54,MATCH('#5'!E210,Données!$G$2:$G$54,1),1)</f>
        <v>34</v>
      </c>
      <c r="G210" s="18" t="str">
        <f t="shared" si="7"/>
        <v/>
      </c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1"/>
      <c r="W210" s="75"/>
      <c r="X210" s="75"/>
      <c r="Y210" s="75"/>
      <c r="Z210" s="96">
        <f>SUM(Tableau16[[#This Row],[A-1]:[G-5]])</f>
        <v>0</v>
      </c>
      <c r="AA210" s="96" t="str">
        <f>IF(AND(Z210&gt;0,Tableau16[[#This Row],[CDS]]=""),"Oui","Non")</f>
        <v>Non</v>
      </c>
      <c r="AB210" s="75"/>
      <c r="AC210" s="75"/>
      <c r="AD210" s="75"/>
      <c r="AE210" s="75"/>
      <c r="AF210" s="75"/>
      <c r="AG210" s="75"/>
      <c r="AH210" s="75"/>
      <c r="AI210" s="75"/>
      <c r="AJ210" s="81"/>
      <c r="AK210" s="75"/>
      <c r="AL210" s="75"/>
    </row>
    <row r="211" spans="1:38" ht="15.75" hidden="1" thickBot="1" x14ac:dyDescent="0.3">
      <c r="A211" s="75"/>
      <c r="B211" s="75"/>
      <c r="C211" s="35">
        <f>INDEX(Données!$F$2:$L$54,MATCH(F211,Données!$F$2:$F$54,0),2)</f>
        <v>44060</v>
      </c>
      <c r="D211" s="29" t="str">
        <f t="shared" si="6"/>
        <v>#5</v>
      </c>
      <c r="E211" s="7">
        <f>Données!L35</f>
        <v>44065</v>
      </c>
      <c r="F211" s="6" t="str">
        <f>INDEX(Données!$F$2:$L$54,MATCH('#5'!E211,Données!$G$2:$G$54,1),1)</f>
        <v>34</v>
      </c>
      <c r="G211" s="18" t="str">
        <f t="shared" si="7"/>
        <v/>
      </c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1"/>
      <c r="W211" s="75"/>
      <c r="X211" s="75"/>
      <c r="Y211" s="75"/>
      <c r="Z211" s="96">
        <f>SUM(Tableau16[[#This Row],[A-1]:[G-5]])</f>
        <v>0</v>
      </c>
      <c r="AA211" s="96" t="str">
        <f>IF(AND(Z211&gt;0,Tableau16[[#This Row],[CDS]]=""),"Oui","Non")</f>
        <v>Non</v>
      </c>
      <c r="AB211" s="75"/>
      <c r="AC211" s="75"/>
      <c r="AD211" s="75"/>
      <c r="AE211" s="75"/>
      <c r="AF211" s="75"/>
      <c r="AG211" s="75"/>
      <c r="AH211" s="75"/>
      <c r="AI211" s="75"/>
      <c r="AJ211" s="81"/>
      <c r="AK211" s="75"/>
      <c r="AL211" s="75"/>
    </row>
    <row r="212" spans="1:38" ht="15.75" hidden="1" thickBot="1" x14ac:dyDescent="0.3">
      <c r="A212" s="75"/>
      <c r="B212" s="75"/>
      <c r="C212" s="35">
        <f>INDEX(Données!$F$2:$L$54,MATCH(F212,Données!$F$2:$F$54,0),2)</f>
        <v>44067</v>
      </c>
      <c r="D212" s="29" t="str">
        <f t="shared" si="6"/>
        <v>#5</v>
      </c>
      <c r="E212" s="7">
        <f>Données!G36</f>
        <v>44067</v>
      </c>
      <c r="F212" s="6" t="str">
        <f>INDEX(Données!$F$2:$L$54,MATCH('#5'!E212,Données!$G$2:$G$54,1),1)</f>
        <v>35</v>
      </c>
      <c r="G212" s="18" t="str">
        <f t="shared" si="7"/>
        <v/>
      </c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1"/>
      <c r="W212" s="75"/>
      <c r="X212" s="75"/>
      <c r="Y212" s="75"/>
      <c r="Z212" s="96">
        <f>SUM(Tableau16[[#This Row],[A-1]:[G-5]])</f>
        <v>0</v>
      </c>
      <c r="AA212" s="96" t="str">
        <f>IF(AND(Z212&gt;0,Tableau16[[#This Row],[CDS]]=""),"Oui","Non")</f>
        <v>Non</v>
      </c>
      <c r="AB212" s="75"/>
      <c r="AC212" s="75"/>
      <c r="AD212" s="75"/>
      <c r="AE212" s="75"/>
      <c r="AF212" s="75"/>
      <c r="AG212" s="75"/>
      <c r="AH212" s="75"/>
      <c r="AI212" s="75"/>
      <c r="AJ212" s="81"/>
      <c r="AK212" s="75"/>
      <c r="AL212" s="75"/>
    </row>
    <row r="213" spans="1:38" ht="15.75" hidden="1" thickBot="1" x14ac:dyDescent="0.3">
      <c r="A213" s="75"/>
      <c r="B213" s="75"/>
      <c r="C213" s="35">
        <f>INDEX(Données!$F$2:$L$54,MATCH(F213,Données!$F$2:$F$54,0),2)</f>
        <v>44067</v>
      </c>
      <c r="D213" s="29" t="str">
        <f t="shared" si="6"/>
        <v>#5</v>
      </c>
      <c r="E213" s="7">
        <f>Données!H36</f>
        <v>44068</v>
      </c>
      <c r="F213" s="6" t="str">
        <f>INDEX(Données!$F$2:$L$54,MATCH('#5'!E213,Données!$G$2:$G$54,1),1)</f>
        <v>35</v>
      </c>
      <c r="G213" s="18" t="str">
        <f t="shared" si="7"/>
        <v/>
      </c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1"/>
      <c r="W213" s="75"/>
      <c r="X213" s="75"/>
      <c r="Y213" s="75"/>
      <c r="Z213" s="96">
        <f>SUM(Tableau16[[#This Row],[A-1]:[G-5]])</f>
        <v>0</v>
      </c>
      <c r="AA213" s="96" t="str">
        <f>IF(AND(Z213&gt;0,Tableau16[[#This Row],[CDS]]=""),"Oui","Non")</f>
        <v>Non</v>
      </c>
      <c r="AB213" s="75"/>
      <c r="AC213" s="75"/>
      <c r="AD213" s="75"/>
      <c r="AE213" s="75"/>
      <c r="AF213" s="75"/>
      <c r="AG213" s="75"/>
      <c r="AH213" s="75"/>
      <c r="AI213" s="75"/>
      <c r="AJ213" s="81"/>
      <c r="AK213" s="75"/>
      <c r="AL213" s="75"/>
    </row>
    <row r="214" spans="1:38" ht="15.75" hidden="1" thickBot="1" x14ac:dyDescent="0.3">
      <c r="A214" s="75"/>
      <c r="B214" s="75"/>
      <c r="C214" s="35">
        <f>INDEX(Données!$F$2:$L$54,MATCH(F214,Données!$F$2:$F$54,0),2)</f>
        <v>44067</v>
      </c>
      <c r="D214" s="29" t="str">
        <f t="shared" si="6"/>
        <v>#5</v>
      </c>
      <c r="E214" s="7">
        <f>Données!I36</f>
        <v>44069</v>
      </c>
      <c r="F214" s="6" t="str">
        <f>INDEX(Données!$F$2:$L$54,MATCH('#5'!E214,Données!$G$2:$G$54,1),1)</f>
        <v>35</v>
      </c>
      <c r="G214" s="18" t="str">
        <f t="shared" si="7"/>
        <v/>
      </c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1"/>
      <c r="W214" s="75"/>
      <c r="X214" s="75"/>
      <c r="Y214" s="75"/>
      <c r="Z214" s="96">
        <f>SUM(Tableau16[[#This Row],[A-1]:[G-5]])</f>
        <v>0</v>
      </c>
      <c r="AA214" s="96" t="str">
        <f>IF(AND(Z214&gt;0,Tableau16[[#This Row],[CDS]]=""),"Oui","Non")</f>
        <v>Non</v>
      </c>
      <c r="AB214" s="75"/>
      <c r="AC214" s="75"/>
      <c r="AD214" s="75"/>
      <c r="AE214" s="75"/>
      <c r="AF214" s="75"/>
      <c r="AG214" s="75"/>
      <c r="AH214" s="75"/>
      <c r="AI214" s="75"/>
      <c r="AJ214" s="81"/>
      <c r="AK214" s="75"/>
      <c r="AL214" s="75"/>
    </row>
    <row r="215" spans="1:38" ht="15.75" hidden="1" thickBot="1" x14ac:dyDescent="0.3">
      <c r="A215" s="75"/>
      <c r="B215" s="75"/>
      <c r="C215" s="35">
        <f>INDEX(Données!$F$2:$L$54,MATCH(F215,Données!$F$2:$F$54,0),2)</f>
        <v>44067</v>
      </c>
      <c r="D215" s="29" t="str">
        <f t="shared" si="6"/>
        <v>#5</v>
      </c>
      <c r="E215" s="7">
        <f>Données!J36</f>
        <v>44070</v>
      </c>
      <c r="F215" s="6" t="str">
        <f>INDEX(Données!$F$2:$L$54,MATCH('#5'!E215,Données!$G$2:$G$54,1),1)</f>
        <v>35</v>
      </c>
      <c r="G215" s="18" t="str">
        <f t="shared" si="7"/>
        <v/>
      </c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1"/>
      <c r="W215" s="75"/>
      <c r="X215" s="75"/>
      <c r="Y215" s="75"/>
      <c r="Z215" s="96">
        <f>SUM(Tableau16[[#This Row],[A-1]:[G-5]])</f>
        <v>0</v>
      </c>
      <c r="AA215" s="96" t="str">
        <f>IF(AND(Z215&gt;0,Tableau16[[#This Row],[CDS]]=""),"Oui","Non")</f>
        <v>Non</v>
      </c>
      <c r="AB215" s="75"/>
      <c r="AC215" s="75"/>
      <c r="AD215" s="75"/>
      <c r="AE215" s="75"/>
      <c r="AF215" s="75"/>
      <c r="AG215" s="75"/>
      <c r="AH215" s="75"/>
      <c r="AI215" s="75"/>
      <c r="AJ215" s="81"/>
      <c r="AK215" s="75"/>
      <c r="AL215" s="75"/>
    </row>
    <row r="216" spans="1:38" ht="15.75" hidden="1" thickBot="1" x14ac:dyDescent="0.3">
      <c r="A216" s="75"/>
      <c r="B216" s="75"/>
      <c r="C216" s="35">
        <f>INDEX(Données!$F$2:$L$54,MATCH(F216,Données!$F$2:$F$54,0),2)</f>
        <v>44067</v>
      </c>
      <c r="D216" s="29" t="str">
        <f t="shared" si="6"/>
        <v>#5</v>
      </c>
      <c r="E216" s="7">
        <f>Données!K36</f>
        <v>44071</v>
      </c>
      <c r="F216" s="6" t="str">
        <f>INDEX(Données!$F$2:$L$54,MATCH('#5'!E216,Données!$G$2:$G$54,1),1)</f>
        <v>35</v>
      </c>
      <c r="G216" s="18" t="str">
        <f t="shared" si="7"/>
        <v/>
      </c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1"/>
      <c r="W216" s="75"/>
      <c r="X216" s="75"/>
      <c r="Y216" s="75"/>
      <c r="Z216" s="96">
        <f>SUM(Tableau16[[#This Row],[A-1]:[G-5]])</f>
        <v>0</v>
      </c>
      <c r="AA216" s="96" t="str">
        <f>IF(AND(Z216&gt;0,Tableau16[[#This Row],[CDS]]=""),"Oui","Non")</f>
        <v>Non</v>
      </c>
      <c r="AB216" s="75"/>
      <c r="AC216" s="75"/>
      <c r="AD216" s="75"/>
      <c r="AE216" s="75"/>
      <c r="AF216" s="75"/>
      <c r="AG216" s="75"/>
      <c r="AH216" s="75"/>
      <c r="AI216" s="75"/>
      <c r="AJ216" s="81"/>
      <c r="AK216" s="75"/>
      <c r="AL216" s="75"/>
    </row>
    <row r="217" spans="1:38" ht="15.75" hidden="1" thickBot="1" x14ac:dyDescent="0.3">
      <c r="A217" s="75"/>
      <c r="B217" s="75"/>
      <c r="C217" s="35">
        <f>INDEX(Données!$F$2:$L$54,MATCH(F217,Données!$F$2:$F$54,0),2)</f>
        <v>44067</v>
      </c>
      <c r="D217" s="29" t="str">
        <f t="shared" si="6"/>
        <v>#5</v>
      </c>
      <c r="E217" s="7">
        <f>Données!L36</f>
        <v>44072</v>
      </c>
      <c r="F217" s="6" t="str">
        <f>INDEX(Données!$F$2:$L$54,MATCH('#5'!E217,Données!$G$2:$G$54,1),1)</f>
        <v>35</v>
      </c>
      <c r="G217" s="18" t="str">
        <f t="shared" si="7"/>
        <v/>
      </c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1"/>
      <c r="W217" s="75"/>
      <c r="X217" s="75"/>
      <c r="Y217" s="75"/>
      <c r="Z217" s="96">
        <f>SUM(Tableau16[[#This Row],[A-1]:[G-5]])</f>
        <v>0</v>
      </c>
      <c r="AA217" s="96" t="str">
        <f>IF(AND(Z217&gt;0,Tableau16[[#This Row],[CDS]]=""),"Oui","Non")</f>
        <v>Non</v>
      </c>
      <c r="AB217" s="75"/>
      <c r="AC217" s="75"/>
      <c r="AD217" s="75"/>
      <c r="AE217" s="75"/>
      <c r="AF217" s="75"/>
      <c r="AG217" s="75"/>
      <c r="AH217" s="75"/>
      <c r="AI217" s="75"/>
      <c r="AJ217" s="81"/>
      <c r="AK217" s="75"/>
      <c r="AL217" s="75"/>
    </row>
    <row r="218" spans="1:38" ht="15.75" hidden="1" thickBot="1" x14ac:dyDescent="0.3">
      <c r="A218" s="75"/>
      <c r="B218" s="75"/>
      <c r="C218" s="35">
        <f>INDEX(Données!$F$2:$L$54,MATCH(F218,Données!$F$2:$F$54,0),2)</f>
        <v>44074</v>
      </c>
      <c r="D218" s="29" t="str">
        <f t="shared" si="6"/>
        <v>#5</v>
      </c>
      <c r="E218" s="7">
        <f>Données!G37</f>
        <v>44074</v>
      </c>
      <c r="F218" s="6" t="str">
        <f>INDEX(Données!$F$2:$L$54,MATCH('#5'!E218,Données!$G$2:$G$54,1),1)</f>
        <v>36</v>
      </c>
      <c r="G218" s="18" t="str">
        <f t="shared" si="7"/>
        <v/>
      </c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1"/>
      <c r="W218" s="75"/>
      <c r="X218" s="75"/>
      <c r="Y218" s="75"/>
      <c r="Z218" s="96">
        <f>SUM(Tableau16[[#This Row],[A-1]:[G-5]])</f>
        <v>0</v>
      </c>
      <c r="AA218" s="96" t="str">
        <f>IF(AND(Z218&gt;0,Tableau16[[#This Row],[CDS]]=""),"Oui","Non")</f>
        <v>Non</v>
      </c>
      <c r="AB218" s="75"/>
      <c r="AC218" s="75"/>
      <c r="AD218" s="75"/>
      <c r="AE218" s="75"/>
      <c r="AF218" s="75"/>
      <c r="AG218" s="75"/>
      <c r="AH218" s="75"/>
      <c r="AI218" s="75"/>
      <c r="AJ218" s="81"/>
      <c r="AK218" s="75"/>
      <c r="AL218" s="75"/>
    </row>
    <row r="219" spans="1:38" ht="15.75" hidden="1" thickBot="1" x14ac:dyDescent="0.3">
      <c r="A219" s="75"/>
      <c r="B219" s="75"/>
      <c r="C219" s="35">
        <f>INDEX(Données!$F$2:$L$54,MATCH(F219,Données!$F$2:$F$54,0),2)</f>
        <v>44074</v>
      </c>
      <c r="D219" s="29" t="str">
        <f t="shared" si="6"/>
        <v>#5</v>
      </c>
      <c r="E219" s="7">
        <f>Données!H37</f>
        <v>44075</v>
      </c>
      <c r="F219" s="6" t="str">
        <f>INDEX(Données!$F$2:$L$54,MATCH('#5'!E219,Données!$G$2:$G$54,1),1)</f>
        <v>36</v>
      </c>
      <c r="G219" s="18" t="str">
        <f t="shared" si="7"/>
        <v/>
      </c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1"/>
      <c r="W219" s="75"/>
      <c r="X219" s="75"/>
      <c r="Y219" s="75"/>
      <c r="Z219" s="96">
        <f>SUM(Tableau16[[#This Row],[A-1]:[G-5]])</f>
        <v>0</v>
      </c>
      <c r="AA219" s="96" t="str">
        <f>IF(AND(Z219&gt;0,Tableau16[[#This Row],[CDS]]=""),"Oui","Non")</f>
        <v>Non</v>
      </c>
      <c r="AB219" s="75"/>
      <c r="AC219" s="75"/>
      <c r="AD219" s="75"/>
      <c r="AE219" s="75"/>
      <c r="AF219" s="75"/>
      <c r="AG219" s="75"/>
      <c r="AH219" s="75"/>
      <c r="AI219" s="75"/>
      <c r="AJ219" s="81"/>
      <c r="AK219" s="75"/>
      <c r="AL219" s="75"/>
    </row>
    <row r="220" spans="1:38" ht="15.75" hidden="1" thickBot="1" x14ac:dyDescent="0.3">
      <c r="A220" s="75"/>
      <c r="B220" s="75"/>
      <c r="C220" s="35">
        <f>INDEX(Données!$F$2:$L$54,MATCH(F220,Données!$F$2:$F$54,0),2)</f>
        <v>44074</v>
      </c>
      <c r="D220" s="29" t="str">
        <f t="shared" si="6"/>
        <v>#5</v>
      </c>
      <c r="E220" s="7">
        <f>Données!I37</f>
        <v>44076</v>
      </c>
      <c r="F220" s="6" t="str">
        <f>INDEX(Données!$F$2:$L$54,MATCH('#5'!E220,Données!$G$2:$G$54,1),1)</f>
        <v>36</v>
      </c>
      <c r="G220" s="18" t="str">
        <f t="shared" si="7"/>
        <v/>
      </c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1"/>
      <c r="W220" s="75"/>
      <c r="X220" s="75"/>
      <c r="Y220" s="75"/>
      <c r="Z220" s="96">
        <f>SUM(Tableau16[[#This Row],[A-1]:[G-5]])</f>
        <v>0</v>
      </c>
      <c r="AA220" s="96" t="str">
        <f>IF(AND(Z220&gt;0,Tableau16[[#This Row],[CDS]]=""),"Oui","Non")</f>
        <v>Non</v>
      </c>
      <c r="AB220" s="75"/>
      <c r="AC220" s="75"/>
      <c r="AD220" s="75"/>
      <c r="AE220" s="75"/>
      <c r="AF220" s="75"/>
      <c r="AG220" s="75"/>
      <c r="AH220" s="75"/>
      <c r="AI220" s="75"/>
      <c r="AJ220" s="81"/>
      <c r="AK220" s="75"/>
      <c r="AL220" s="75"/>
    </row>
    <row r="221" spans="1:38" ht="15.75" hidden="1" thickBot="1" x14ac:dyDescent="0.3">
      <c r="A221" s="75"/>
      <c r="B221" s="75"/>
      <c r="C221" s="35">
        <f>INDEX(Données!$F$2:$L$54,MATCH(F221,Données!$F$2:$F$54,0),2)</f>
        <v>44074</v>
      </c>
      <c r="D221" s="29" t="str">
        <f t="shared" si="6"/>
        <v>#5</v>
      </c>
      <c r="E221" s="7">
        <f>Données!J37</f>
        <v>44077</v>
      </c>
      <c r="F221" s="6" t="str">
        <f>INDEX(Données!$F$2:$L$54,MATCH('#5'!E221,Données!$G$2:$G$54,1),1)</f>
        <v>36</v>
      </c>
      <c r="G221" s="18" t="str">
        <f t="shared" si="7"/>
        <v/>
      </c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1"/>
      <c r="W221" s="75"/>
      <c r="X221" s="75"/>
      <c r="Y221" s="75"/>
      <c r="Z221" s="96">
        <f>SUM(Tableau16[[#This Row],[A-1]:[G-5]])</f>
        <v>0</v>
      </c>
      <c r="AA221" s="96" t="str">
        <f>IF(AND(Z221&gt;0,Tableau16[[#This Row],[CDS]]=""),"Oui","Non")</f>
        <v>Non</v>
      </c>
      <c r="AB221" s="75"/>
      <c r="AC221" s="75"/>
      <c r="AD221" s="75"/>
      <c r="AE221" s="75"/>
      <c r="AF221" s="75"/>
      <c r="AG221" s="75"/>
      <c r="AH221" s="75"/>
      <c r="AI221" s="75"/>
      <c r="AJ221" s="81"/>
      <c r="AK221" s="75"/>
      <c r="AL221" s="75"/>
    </row>
    <row r="222" spans="1:38" ht="15.75" hidden="1" thickBot="1" x14ac:dyDescent="0.3">
      <c r="A222" s="75"/>
      <c r="B222" s="75"/>
      <c r="C222" s="35">
        <f>INDEX(Données!$F$2:$L$54,MATCH(F222,Données!$F$2:$F$54,0),2)</f>
        <v>44074</v>
      </c>
      <c r="D222" s="29" t="str">
        <f t="shared" si="6"/>
        <v>#5</v>
      </c>
      <c r="E222" s="7">
        <f>Données!K37</f>
        <v>44078</v>
      </c>
      <c r="F222" s="6" t="str">
        <f>INDEX(Données!$F$2:$L$54,MATCH('#5'!E222,Données!$G$2:$G$54,1),1)</f>
        <v>36</v>
      </c>
      <c r="G222" s="18" t="str">
        <f t="shared" si="7"/>
        <v/>
      </c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1"/>
      <c r="W222" s="75"/>
      <c r="X222" s="75"/>
      <c r="Y222" s="75"/>
      <c r="Z222" s="96">
        <f>SUM(Tableau16[[#This Row],[A-1]:[G-5]])</f>
        <v>0</v>
      </c>
      <c r="AA222" s="96" t="str">
        <f>IF(AND(Z222&gt;0,Tableau16[[#This Row],[CDS]]=""),"Oui","Non")</f>
        <v>Non</v>
      </c>
      <c r="AB222" s="75"/>
      <c r="AC222" s="75"/>
      <c r="AD222" s="75"/>
      <c r="AE222" s="75"/>
      <c r="AF222" s="75"/>
      <c r="AG222" s="75"/>
      <c r="AH222" s="75"/>
      <c r="AI222" s="75"/>
      <c r="AJ222" s="81"/>
      <c r="AK222" s="75"/>
      <c r="AL222" s="75"/>
    </row>
    <row r="223" spans="1:38" ht="15.75" hidden="1" thickBot="1" x14ac:dyDescent="0.3">
      <c r="A223" s="75"/>
      <c r="B223" s="75"/>
      <c r="C223" s="35">
        <f>INDEX(Données!$F$2:$L$54,MATCH(F223,Données!$F$2:$F$54,0),2)</f>
        <v>44074</v>
      </c>
      <c r="D223" s="29" t="str">
        <f t="shared" si="6"/>
        <v>#5</v>
      </c>
      <c r="E223" s="7">
        <f>Données!L37</f>
        <v>44079</v>
      </c>
      <c r="F223" s="6" t="str">
        <f>INDEX(Données!$F$2:$L$54,MATCH('#5'!E223,Données!$G$2:$G$54,1),1)</f>
        <v>36</v>
      </c>
      <c r="G223" s="18" t="str">
        <f t="shared" si="7"/>
        <v/>
      </c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1"/>
      <c r="W223" s="75"/>
      <c r="X223" s="75"/>
      <c r="Y223" s="75"/>
      <c r="Z223" s="96">
        <f>SUM(Tableau16[[#This Row],[A-1]:[G-5]])</f>
        <v>0</v>
      </c>
      <c r="AA223" s="96" t="str">
        <f>IF(AND(Z223&gt;0,Tableau16[[#This Row],[CDS]]=""),"Oui","Non")</f>
        <v>Non</v>
      </c>
      <c r="AB223" s="75"/>
      <c r="AC223" s="75"/>
      <c r="AD223" s="75"/>
      <c r="AE223" s="75"/>
      <c r="AF223" s="75"/>
      <c r="AG223" s="75"/>
      <c r="AH223" s="75"/>
      <c r="AI223" s="75"/>
      <c r="AJ223" s="81"/>
      <c r="AK223" s="75"/>
      <c r="AL223" s="75"/>
    </row>
    <row r="224" spans="1:38" ht="15.75" hidden="1" thickBot="1" x14ac:dyDescent="0.3">
      <c r="A224" s="75"/>
      <c r="B224" s="75"/>
      <c r="C224" s="35">
        <f>INDEX(Données!$F$2:$L$54,MATCH(F224,Données!$F$2:$F$54,0),2)</f>
        <v>44081</v>
      </c>
      <c r="D224" s="29" t="str">
        <f t="shared" si="6"/>
        <v>#5</v>
      </c>
      <c r="E224" s="7">
        <f>Données!G38</f>
        <v>44081</v>
      </c>
      <c r="F224" s="6" t="str">
        <f>INDEX(Données!$F$2:$L$54,MATCH('#5'!E224,Données!$G$2:$G$54,1),1)</f>
        <v>37</v>
      </c>
      <c r="G224" s="18" t="str">
        <f t="shared" si="7"/>
        <v/>
      </c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1"/>
      <c r="W224" s="75"/>
      <c r="X224" s="75"/>
      <c r="Y224" s="75"/>
      <c r="Z224" s="96">
        <f>SUM(Tableau16[[#This Row],[A-1]:[G-5]])</f>
        <v>0</v>
      </c>
      <c r="AA224" s="96" t="str">
        <f>IF(AND(Z224&gt;0,Tableau16[[#This Row],[CDS]]=""),"Oui","Non")</f>
        <v>Non</v>
      </c>
      <c r="AB224" s="75"/>
      <c r="AC224" s="75"/>
      <c r="AD224" s="75"/>
      <c r="AE224" s="75"/>
      <c r="AF224" s="75"/>
      <c r="AG224" s="75"/>
      <c r="AH224" s="75"/>
      <c r="AI224" s="75"/>
      <c r="AJ224" s="81"/>
      <c r="AK224" s="75"/>
      <c r="AL224" s="75"/>
    </row>
    <row r="225" spans="1:38" ht="15.75" hidden="1" thickBot="1" x14ac:dyDescent="0.3">
      <c r="A225" s="75"/>
      <c r="B225" s="75"/>
      <c r="C225" s="35">
        <f>INDEX(Données!$F$2:$L$54,MATCH(F225,Données!$F$2:$F$54,0),2)</f>
        <v>44081</v>
      </c>
      <c r="D225" s="29" t="str">
        <f t="shared" si="6"/>
        <v>#5</v>
      </c>
      <c r="E225" s="7">
        <f>Données!H38</f>
        <v>44082</v>
      </c>
      <c r="F225" s="6" t="str">
        <f>INDEX(Données!$F$2:$L$54,MATCH('#5'!E225,Données!$G$2:$G$54,1),1)</f>
        <v>37</v>
      </c>
      <c r="G225" s="18" t="str">
        <f t="shared" si="7"/>
        <v/>
      </c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1"/>
      <c r="W225" s="75"/>
      <c r="X225" s="75"/>
      <c r="Y225" s="75"/>
      <c r="Z225" s="96">
        <f>SUM(Tableau16[[#This Row],[A-1]:[G-5]])</f>
        <v>0</v>
      </c>
      <c r="AA225" s="96" t="str">
        <f>IF(AND(Z225&gt;0,Tableau16[[#This Row],[CDS]]=""),"Oui","Non")</f>
        <v>Non</v>
      </c>
      <c r="AB225" s="75"/>
      <c r="AC225" s="75"/>
      <c r="AD225" s="75"/>
      <c r="AE225" s="75"/>
      <c r="AF225" s="75"/>
      <c r="AG225" s="75"/>
      <c r="AH225" s="75"/>
      <c r="AI225" s="75"/>
      <c r="AJ225" s="81"/>
      <c r="AK225" s="75"/>
      <c r="AL225" s="75"/>
    </row>
    <row r="226" spans="1:38" ht="15.75" hidden="1" thickBot="1" x14ac:dyDescent="0.3">
      <c r="A226" s="75"/>
      <c r="B226" s="75"/>
      <c r="C226" s="35">
        <f>INDEX(Données!$F$2:$L$54,MATCH(F226,Données!$F$2:$F$54,0),2)</f>
        <v>44081</v>
      </c>
      <c r="D226" s="29" t="str">
        <f t="shared" si="6"/>
        <v>#5</v>
      </c>
      <c r="E226" s="7">
        <f>Données!I38</f>
        <v>44083</v>
      </c>
      <c r="F226" s="6" t="str">
        <f>INDEX(Données!$F$2:$L$54,MATCH('#5'!E226,Données!$G$2:$G$54,1),1)</f>
        <v>37</v>
      </c>
      <c r="G226" s="18" t="str">
        <f t="shared" si="7"/>
        <v/>
      </c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1"/>
      <c r="W226" s="75"/>
      <c r="X226" s="75"/>
      <c r="Y226" s="75"/>
      <c r="Z226" s="96">
        <f>SUM(Tableau16[[#This Row],[A-1]:[G-5]])</f>
        <v>0</v>
      </c>
      <c r="AA226" s="96" t="str">
        <f>IF(AND(Z226&gt;0,Tableau16[[#This Row],[CDS]]=""),"Oui","Non")</f>
        <v>Non</v>
      </c>
      <c r="AB226" s="75"/>
      <c r="AC226" s="75"/>
      <c r="AD226" s="75"/>
      <c r="AE226" s="75"/>
      <c r="AF226" s="75"/>
      <c r="AG226" s="75"/>
      <c r="AH226" s="75"/>
      <c r="AI226" s="75"/>
      <c r="AJ226" s="81"/>
      <c r="AK226" s="75"/>
      <c r="AL226" s="75"/>
    </row>
    <row r="227" spans="1:38" ht="15.75" hidden="1" thickBot="1" x14ac:dyDescent="0.3">
      <c r="A227" s="75"/>
      <c r="B227" s="75"/>
      <c r="C227" s="35">
        <f>INDEX(Données!$F$2:$L$54,MATCH(F227,Données!$F$2:$F$54,0),2)</f>
        <v>44081</v>
      </c>
      <c r="D227" s="29" t="str">
        <f t="shared" si="6"/>
        <v>#5</v>
      </c>
      <c r="E227" s="7">
        <f>Données!J38</f>
        <v>44084</v>
      </c>
      <c r="F227" s="6" t="str">
        <f>INDEX(Données!$F$2:$L$54,MATCH('#5'!E227,Données!$G$2:$G$54,1),1)</f>
        <v>37</v>
      </c>
      <c r="G227" s="18" t="str">
        <f t="shared" si="7"/>
        <v/>
      </c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1"/>
      <c r="W227" s="75"/>
      <c r="X227" s="75"/>
      <c r="Y227" s="75"/>
      <c r="Z227" s="96">
        <f>SUM(Tableau16[[#This Row],[A-1]:[G-5]])</f>
        <v>0</v>
      </c>
      <c r="AA227" s="96" t="str">
        <f>IF(AND(Z227&gt;0,Tableau16[[#This Row],[CDS]]=""),"Oui","Non")</f>
        <v>Non</v>
      </c>
      <c r="AB227" s="75"/>
      <c r="AC227" s="75"/>
      <c r="AD227" s="75"/>
      <c r="AE227" s="75"/>
      <c r="AF227" s="75"/>
      <c r="AG227" s="75"/>
      <c r="AH227" s="75"/>
      <c r="AI227" s="75"/>
      <c r="AJ227" s="81"/>
      <c r="AK227" s="75"/>
      <c r="AL227" s="75"/>
    </row>
    <row r="228" spans="1:38" ht="15.75" hidden="1" thickBot="1" x14ac:dyDescent="0.3">
      <c r="A228" s="75"/>
      <c r="B228" s="75"/>
      <c r="C228" s="35">
        <f>INDEX(Données!$F$2:$L$54,MATCH(F228,Données!$F$2:$F$54,0),2)</f>
        <v>44081</v>
      </c>
      <c r="D228" s="29" t="str">
        <f t="shared" si="6"/>
        <v>#5</v>
      </c>
      <c r="E228" s="7">
        <f>Données!K38</f>
        <v>44085</v>
      </c>
      <c r="F228" s="6" t="str">
        <f>INDEX(Données!$F$2:$L$54,MATCH('#5'!E228,Données!$G$2:$G$54,1),1)</f>
        <v>37</v>
      </c>
      <c r="G228" s="18" t="str">
        <f t="shared" si="7"/>
        <v/>
      </c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1"/>
      <c r="W228" s="75"/>
      <c r="X228" s="75"/>
      <c r="Y228" s="75"/>
      <c r="Z228" s="96">
        <f>SUM(Tableau16[[#This Row],[A-1]:[G-5]])</f>
        <v>0</v>
      </c>
      <c r="AA228" s="96" t="str">
        <f>IF(AND(Z228&gt;0,Tableau16[[#This Row],[CDS]]=""),"Oui","Non")</f>
        <v>Non</v>
      </c>
      <c r="AB228" s="75"/>
      <c r="AC228" s="75"/>
      <c r="AD228" s="75"/>
      <c r="AE228" s="75"/>
      <c r="AF228" s="75"/>
      <c r="AG228" s="75"/>
      <c r="AH228" s="75"/>
      <c r="AI228" s="75"/>
      <c r="AJ228" s="81"/>
      <c r="AK228" s="75"/>
      <c r="AL228" s="75"/>
    </row>
    <row r="229" spans="1:38" ht="15.75" hidden="1" thickBot="1" x14ac:dyDescent="0.3">
      <c r="A229" s="75"/>
      <c r="B229" s="75"/>
      <c r="C229" s="35">
        <f>INDEX(Données!$F$2:$L$54,MATCH(F229,Données!$F$2:$F$54,0),2)</f>
        <v>44081</v>
      </c>
      <c r="D229" s="29" t="str">
        <f t="shared" si="6"/>
        <v>#5</v>
      </c>
      <c r="E229" s="7">
        <f>Données!L38</f>
        <v>44086</v>
      </c>
      <c r="F229" s="6" t="str">
        <f>INDEX(Données!$F$2:$L$54,MATCH('#5'!E229,Données!$G$2:$G$54,1),1)</f>
        <v>37</v>
      </c>
      <c r="G229" s="18" t="str">
        <f t="shared" si="7"/>
        <v/>
      </c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1"/>
      <c r="W229" s="75"/>
      <c r="X229" s="75"/>
      <c r="Y229" s="75"/>
      <c r="Z229" s="96">
        <f>SUM(Tableau16[[#This Row],[A-1]:[G-5]])</f>
        <v>0</v>
      </c>
      <c r="AA229" s="96" t="str">
        <f>IF(AND(Z229&gt;0,Tableau16[[#This Row],[CDS]]=""),"Oui","Non")</f>
        <v>Non</v>
      </c>
      <c r="AB229" s="75"/>
      <c r="AC229" s="75"/>
      <c r="AD229" s="75"/>
      <c r="AE229" s="75"/>
      <c r="AF229" s="75"/>
      <c r="AG229" s="75"/>
      <c r="AH229" s="75"/>
      <c r="AI229" s="75"/>
      <c r="AJ229" s="81"/>
      <c r="AK229" s="75"/>
      <c r="AL229" s="75"/>
    </row>
    <row r="230" spans="1:38" ht="15.75" hidden="1" thickBot="1" x14ac:dyDescent="0.3">
      <c r="A230" s="75"/>
      <c r="B230" s="75"/>
      <c r="C230" s="35">
        <f>INDEX(Données!$F$2:$L$54,MATCH(F230,Données!$F$2:$F$54,0),2)</f>
        <v>44088</v>
      </c>
      <c r="D230" s="29" t="str">
        <f t="shared" si="6"/>
        <v>#5</v>
      </c>
      <c r="E230" s="7">
        <f>Données!G39</f>
        <v>44088</v>
      </c>
      <c r="F230" s="6" t="str">
        <f>INDEX(Données!$F$2:$L$54,MATCH('#5'!E230,Données!$G$2:$G$54,1),1)</f>
        <v>38</v>
      </c>
      <c r="G230" s="18" t="str">
        <f t="shared" si="7"/>
        <v/>
      </c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1"/>
      <c r="W230" s="75"/>
      <c r="X230" s="75"/>
      <c r="Y230" s="75"/>
      <c r="Z230" s="96">
        <f>SUM(Tableau16[[#This Row],[A-1]:[G-5]])</f>
        <v>0</v>
      </c>
      <c r="AA230" s="96" t="str">
        <f>IF(AND(Z230&gt;0,Tableau16[[#This Row],[CDS]]=""),"Oui","Non")</f>
        <v>Non</v>
      </c>
      <c r="AB230" s="75"/>
      <c r="AC230" s="75"/>
      <c r="AD230" s="75"/>
      <c r="AE230" s="75"/>
      <c r="AF230" s="75"/>
      <c r="AG230" s="75"/>
      <c r="AH230" s="75"/>
      <c r="AI230" s="75"/>
      <c r="AJ230" s="81"/>
      <c r="AK230" s="75"/>
      <c r="AL230" s="75"/>
    </row>
    <row r="231" spans="1:38" ht="15.75" hidden="1" thickBot="1" x14ac:dyDescent="0.3">
      <c r="A231" s="75"/>
      <c r="B231" s="75"/>
      <c r="C231" s="35">
        <f>INDEX(Données!$F$2:$L$54,MATCH(F231,Données!$F$2:$F$54,0),2)</f>
        <v>44088</v>
      </c>
      <c r="D231" s="29" t="str">
        <f t="shared" si="6"/>
        <v>#5</v>
      </c>
      <c r="E231" s="7">
        <f>Données!H39</f>
        <v>44089</v>
      </c>
      <c r="F231" s="6" t="str">
        <f>INDEX(Données!$F$2:$L$54,MATCH('#5'!E231,Données!$G$2:$G$54,1),1)</f>
        <v>38</v>
      </c>
      <c r="G231" s="18" t="str">
        <f t="shared" si="7"/>
        <v/>
      </c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1"/>
      <c r="W231" s="75"/>
      <c r="X231" s="75"/>
      <c r="Y231" s="75"/>
      <c r="Z231" s="96">
        <f>SUM(Tableau16[[#This Row],[A-1]:[G-5]])</f>
        <v>0</v>
      </c>
      <c r="AA231" s="96" t="str">
        <f>IF(AND(Z231&gt;0,Tableau16[[#This Row],[CDS]]=""),"Oui","Non")</f>
        <v>Non</v>
      </c>
      <c r="AB231" s="75"/>
      <c r="AC231" s="75"/>
      <c r="AD231" s="75"/>
      <c r="AE231" s="75"/>
      <c r="AF231" s="75"/>
      <c r="AG231" s="75"/>
      <c r="AH231" s="75"/>
      <c r="AI231" s="75"/>
      <c r="AJ231" s="81"/>
      <c r="AK231" s="75"/>
      <c r="AL231" s="75"/>
    </row>
    <row r="232" spans="1:38" ht="15.75" hidden="1" thickBot="1" x14ac:dyDescent="0.3">
      <c r="A232" s="75"/>
      <c r="B232" s="75"/>
      <c r="C232" s="35">
        <f>INDEX(Données!$F$2:$L$54,MATCH(F232,Données!$F$2:$F$54,0),2)</f>
        <v>44088</v>
      </c>
      <c r="D232" s="29" t="str">
        <f t="shared" si="6"/>
        <v>#5</v>
      </c>
      <c r="E232" s="7">
        <f>Données!I39</f>
        <v>44090</v>
      </c>
      <c r="F232" s="6" t="str">
        <f>INDEX(Données!$F$2:$L$54,MATCH('#5'!E232,Données!$G$2:$G$54,1),1)</f>
        <v>38</v>
      </c>
      <c r="G232" s="18" t="str">
        <f t="shared" si="7"/>
        <v/>
      </c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1"/>
      <c r="W232" s="75"/>
      <c r="X232" s="75"/>
      <c r="Y232" s="75"/>
      <c r="Z232" s="96">
        <f>SUM(Tableau16[[#This Row],[A-1]:[G-5]])</f>
        <v>0</v>
      </c>
      <c r="AA232" s="96" t="str">
        <f>IF(AND(Z232&gt;0,Tableau16[[#This Row],[CDS]]=""),"Oui","Non")</f>
        <v>Non</v>
      </c>
      <c r="AB232" s="75"/>
      <c r="AC232" s="75"/>
      <c r="AD232" s="75"/>
      <c r="AE232" s="75"/>
      <c r="AF232" s="75"/>
      <c r="AG232" s="75"/>
      <c r="AH232" s="75"/>
      <c r="AI232" s="75"/>
      <c r="AJ232" s="81"/>
      <c r="AK232" s="75"/>
      <c r="AL232" s="75"/>
    </row>
    <row r="233" spans="1:38" ht="15.75" hidden="1" thickBot="1" x14ac:dyDescent="0.3">
      <c r="A233" s="75"/>
      <c r="B233" s="75"/>
      <c r="C233" s="35">
        <f>INDEX(Données!$F$2:$L$54,MATCH(F233,Données!$F$2:$F$54,0),2)</f>
        <v>44088</v>
      </c>
      <c r="D233" s="29" t="str">
        <f t="shared" si="6"/>
        <v>#5</v>
      </c>
      <c r="E233" s="7">
        <f>Données!J39</f>
        <v>44091</v>
      </c>
      <c r="F233" s="6" t="str">
        <f>INDEX(Données!$F$2:$L$54,MATCH('#5'!E233,Données!$G$2:$G$54,1),1)</f>
        <v>38</v>
      </c>
      <c r="G233" s="18" t="str">
        <f t="shared" si="7"/>
        <v/>
      </c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1"/>
      <c r="W233" s="75"/>
      <c r="X233" s="75"/>
      <c r="Y233" s="75"/>
      <c r="Z233" s="96">
        <f>SUM(Tableau16[[#This Row],[A-1]:[G-5]])</f>
        <v>0</v>
      </c>
      <c r="AA233" s="96" t="str">
        <f>IF(AND(Z233&gt;0,Tableau16[[#This Row],[CDS]]=""),"Oui","Non")</f>
        <v>Non</v>
      </c>
      <c r="AB233" s="75"/>
      <c r="AC233" s="75"/>
      <c r="AD233" s="75"/>
      <c r="AE233" s="75"/>
      <c r="AF233" s="75"/>
      <c r="AG233" s="75"/>
      <c r="AH233" s="75"/>
      <c r="AI233" s="75"/>
      <c r="AJ233" s="81"/>
      <c r="AK233" s="75"/>
      <c r="AL233" s="75"/>
    </row>
    <row r="234" spans="1:38" ht="15.75" hidden="1" thickBot="1" x14ac:dyDescent="0.3">
      <c r="A234" s="75"/>
      <c r="B234" s="75"/>
      <c r="C234" s="35">
        <f>INDEX(Données!$F$2:$L$54,MATCH(F234,Données!$F$2:$F$54,0),2)</f>
        <v>44088</v>
      </c>
      <c r="D234" s="29" t="str">
        <f t="shared" si="6"/>
        <v>#5</v>
      </c>
      <c r="E234" s="7">
        <f>Données!K39</f>
        <v>44092</v>
      </c>
      <c r="F234" s="6" t="str">
        <f>INDEX(Données!$F$2:$L$54,MATCH('#5'!E234,Données!$G$2:$G$54,1),1)</f>
        <v>38</v>
      </c>
      <c r="G234" s="18" t="str">
        <f t="shared" si="7"/>
        <v/>
      </c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1"/>
      <c r="W234" s="75"/>
      <c r="X234" s="75"/>
      <c r="Y234" s="75"/>
      <c r="Z234" s="96">
        <f>SUM(Tableau16[[#This Row],[A-1]:[G-5]])</f>
        <v>0</v>
      </c>
      <c r="AA234" s="96" t="str">
        <f>IF(AND(Z234&gt;0,Tableau16[[#This Row],[CDS]]=""),"Oui","Non")</f>
        <v>Non</v>
      </c>
      <c r="AB234" s="75"/>
      <c r="AC234" s="75"/>
      <c r="AD234" s="75"/>
      <c r="AE234" s="75"/>
      <c r="AF234" s="75"/>
      <c r="AG234" s="75"/>
      <c r="AH234" s="75"/>
      <c r="AI234" s="75"/>
      <c r="AJ234" s="81"/>
      <c r="AK234" s="75"/>
      <c r="AL234" s="75"/>
    </row>
    <row r="235" spans="1:38" ht="15.75" hidden="1" thickBot="1" x14ac:dyDescent="0.3">
      <c r="A235" s="75"/>
      <c r="B235" s="75"/>
      <c r="C235" s="35">
        <f>INDEX(Données!$F$2:$L$54,MATCH(F235,Données!$F$2:$F$54,0),2)</f>
        <v>44088</v>
      </c>
      <c r="D235" s="29" t="str">
        <f t="shared" si="6"/>
        <v>#5</v>
      </c>
      <c r="E235" s="7">
        <f>Données!L39</f>
        <v>44093</v>
      </c>
      <c r="F235" s="6" t="str">
        <f>INDEX(Données!$F$2:$L$54,MATCH('#5'!E235,Données!$G$2:$G$54,1),1)</f>
        <v>38</v>
      </c>
      <c r="G235" s="18" t="str">
        <f t="shared" si="7"/>
        <v/>
      </c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1"/>
      <c r="W235" s="75"/>
      <c r="X235" s="75"/>
      <c r="Y235" s="75"/>
      <c r="Z235" s="96">
        <f>SUM(Tableau16[[#This Row],[A-1]:[G-5]])</f>
        <v>0</v>
      </c>
      <c r="AA235" s="96" t="str">
        <f>IF(AND(Z235&gt;0,Tableau16[[#This Row],[CDS]]=""),"Oui","Non")</f>
        <v>Non</v>
      </c>
      <c r="AB235" s="75"/>
      <c r="AC235" s="75"/>
      <c r="AD235" s="75"/>
      <c r="AE235" s="75"/>
      <c r="AF235" s="75"/>
      <c r="AG235" s="75"/>
      <c r="AH235" s="75"/>
      <c r="AI235" s="75"/>
      <c r="AJ235" s="81"/>
      <c r="AK235" s="75"/>
      <c r="AL235" s="75"/>
    </row>
    <row r="236" spans="1:38" ht="15.75" hidden="1" thickBot="1" x14ac:dyDescent="0.3">
      <c r="A236" s="75"/>
      <c r="B236" s="75"/>
      <c r="C236" s="35">
        <f>INDEX(Données!$F$2:$L$54,MATCH(F236,Données!$F$2:$F$54,0),2)</f>
        <v>44095</v>
      </c>
      <c r="D236" s="29" t="str">
        <f t="shared" si="6"/>
        <v>#5</v>
      </c>
      <c r="E236" s="7">
        <f>Données!G40</f>
        <v>44095</v>
      </c>
      <c r="F236" s="6" t="str">
        <f>INDEX(Données!$F$2:$L$54,MATCH('#5'!E236,Données!$G$2:$G$54,1),1)</f>
        <v>39</v>
      </c>
      <c r="G236" s="18" t="str">
        <f t="shared" si="7"/>
        <v/>
      </c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1"/>
      <c r="W236" s="75"/>
      <c r="X236" s="75"/>
      <c r="Y236" s="75"/>
      <c r="Z236" s="96">
        <f>SUM(Tableau16[[#This Row],[A-1]:[G-5]])</f>
        <v>0</v>
      </c>
      <c r="AA236" s="96" t="str">
        <f>IF(AND(Z236&gt;0,Tableau16[[#This Row],[CDS]]=""),"Oui","Non")</f>
        <v>Non</v>
      </c>
      <c r="AB236" s="75"/>
      <c r="AC236" s="75"/>
      <c r="AD236" s="75"/>
      <c r="AE236" s="75"/>
      <c r="AF236" s="75"/>
      <c r="AG236" s="75"/>
      <c r="AH236" s="75"/>
      <c r="AI236" s="75"/>
      <c r="AJ236" s="81"/>
      <c r="AK236" s="75"/>
      <c r="AL236" s="75"/>
    </row>
    <row r="237" spans="1:38" ht="15.75" hidden="1" thickBot="1" x14ac:dyDescent="0.3">
      <c r="A237" s="75"/>
      <c r="B237" s="75"/>
      <c r="C237" s="35">
        <f>INDEX(Données!$F$2:$L$54,MATCH(F237,Données!$F$2:$F$54,0),2)</f>
        <v>44095</v>
      </c>
      <c r="D237" s="29" t="str">
        <f t="shared" si="6"/>
        <v>#5</v>
      </c>
      <c r="E237" s="7">
        <f>Données!H40</f>
        <v>44096</v>
      </c>
      <c r="F237" s="6" t="str">
        <f>INDEX(Données!$F$2:$L$54,MATCH('#5'!E237,Données!$G$2:$G$54,1),1)</f>
        <v>39</v>
      </c>
      <c r="G237" s="18" t="str">
        <f t="shared" si="7"/>
        <v/>
      </c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1"/>
      <c r="W237" s="75"/>
      <c r="X237" s="75"/>
      <c r="Y237" s="75"/>
      <c r="Z237" s="96">
        <f>SUM(Tableau16[[#This Row],[A-1]:[G-5]])</f>
        <v>0</v>
      </c>
      <c r="AA237" s="96" t="str">
        <f>IF(AND(Z237&gt;0,Tableau16[[#This Row],[CDS]]=""),"Oui","Non")</f>
        <v>Non</v>
      </c>
      <c r="AB237" s="75"/>
      <c r="AC237" s="75"/>
      <c r="AD237" s="75"/>
      <c r="AE237" s="75"/>
      <c r="AF237" s="75"/>
      <c r="AG237" s="75"/>
      <c r="AH237" s="75"/>
      <c r="AI237" s="75"/>
      <c r="AJ237" s="81"/>
      <c r="AK237" s="75"/>
      <c r="AL237" s="75"/>
    </row>
    <row r="238" spans="1:38" ht="15.75" hidden="1" thickBot="1" x14ac:dyDescent="0.3">
      <c r="A238" s="75"/>
      <c r="B238" s="75"/>
      <c r="C238" s="35">
        <f>INDEX(Données!$F$2:$L$54,MATCH(F238,Données!$F$2:$F$54,0),2)</f>
        <v>44095</v>
      </c>
      <c r="D238" s="29" t="str">
        <f t="shared" si="6"/>
        <v>#5</v>
      </c>
      <c r="E238" s="7">
        <f>Données!I40</f>
        <v>44097</v>
      </c>
      <c r="F238" s="6" t="str">
        <f>INDEX(Données!$F$2:$L$54,MATCH('#5'!E238,Données!$G$2:$G$54,1),1)</f>
        <v>39</v>
      </c>
      <c r="G238" s="18" t="str">
        <f t="shared" si="7"/>
        <v/>
      </c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1"/>
      <c r="W238" s="75"/>
      <c r="X238" s="75"/>
      <c r="Y238" s="75"/>
      <c r="Z238" s="96">
        <f>SUM(Tableau16[[#This Row],[A-1]:[G-5]])</f>
        <v>0</v>
      </c>
      <c r="AA238" s="96" t="str">
        <f>IF(AND(Z238&gt;0,Tableau16[[#This Row],[CDS]]=""),"Oui","Non")</f>
        <v>Non</v>
      </c>
      <c r="AB238" s="75"/>
      <c r="AC238" s="75"/>
      <c r="AD238" s="75"/>
      <c r="AE238" s="75"/>
      <c r="AF238" s="75"/>
      <c r="AG238" s="75"/>
      <c r="AH238" s="75"/>
      <c r="AI238" s="75"/>
      <c r="AJ238" s="81"/>
      <c r="AK238" s="75"/>
      <c r="AL238" s="75"/>
    </row>
    <row r="239" spans="1:38" ht="15.75" hidden="1" thickBot="1" x14ac:dyDescent="0.3">
      <c r="A239" s="75"/>
      <c r="B239" s="75"/>
      <c r="C239" s="35">
        <f>INDEX(Données!$F$2:$L$54,MATCH(F239,Données!$F$2:$F$54,0),2)</f>
        <v>44095</v>
      </c>
      <c r="D239" s="29" t="str">
        <f t="shared" si="6"/>
        <v>#5</v>
      </c>
      <c r="E239" s="7">
        <f>Données!J40</f>
        <v>44098</v>
      </c>
      <c r="F239" s="6" t="str">
        <f>INDEX(Données!$F$2:$L$54,MATCH('#5'!E239,Données!$G$2:$G$54,1),1)</f>
        <v>39</v>
      </c>
      <c r="G239" s="18" t="str">
        <f t="shared" si="7"/>
        <v/>
      </c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1"/>
      <c r="W239" s="75"/>
      <c r="X239" s="75"/>
      <c r="Y239" s="75"/>
      <c r="Z239" s="96">
        <f>SUM(Tableau16[[#This Row],[A-1]:[G-5]])</f>
        <v>0</v>
      </c>
      <c r="AA239" s="96" t="str">
        <f>IF(AND(Z239&gt;0,Tableau16[[#This Row],[CDS]]=""),"Oui","Non")</f>
        <v>Non</v>
      </c>
      <c r="AB239" s="75"/>
      <c r="AC239" s="75"/>
      <c r="AD239" s="75"/>
      <c r="AE239" s="75"/>
      <c r="AF239" s="75"/>
      <c r="AG239" s="75"/>
      <c r="AH239" s="75"/>
      <c r="AI239" s="75"/>
      <c r="AJ239" s="81"/>
      <c r="AK239" s="75"/>
      <c r="AL239" s="75"/>
    </row>
    <row r="240" spans="1:38" ht="15.75" hidden="1" thickBot="1" x14ac:dyDescent="0.3">
      <c r="A240" s="75"/>
      <c r="B240" s="75"/>
      <c r="C240" s="35">
        <f>INDEX(Données!$F$2:$L$54,MATCH(F240,Données!$F$2:$F$54,0),2)</f>
        <v>44095</v>
      </c>
      <c r="D240" s="29" t="str">
        <f t="shared" si="6"/>
        <v>#5</v>
      </c>
      <c r="E240" s="7">
        <f>Données!K40</f>
        <v>44099</v>
      </c>
      <c r="F240" s="6" t="str">
        <f>INDEX(Données!$F$2:$L$54,MATCH('#5'!E240,Données!$G$2:$G$54,1),1)</f>
        <v>39</v>
      </c>
      <c r="G240" s="18" t="str">
        <f t="shared" si="7"/>
        <v/>
      </c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1"/>
      <c r="W240" s="75"/>
      <c r="X240" s="75"/>
      <c r="Y240" s="75"/>
      <c r="Z240" s="96">
        <f>SUM(Tableau16[[#This Row],[A-1]:[G-5]])</f>
        <v>0</v>
      </c>
      <c r="AA240" s="96" t="str">
        <f>IF(AND(Z240&gt;0,Tableau16[[#This Row],[CDS]]=""),"Oui","Non")</f>
        <v>Non</v>
      </c>
      <c r="AB240" s="75"/>
      <c r="AC240" s="75"/>
      <c r="AD240" s="75"/>
      <c r="AE240" s="75"/>
      <c r="AF240" s="75"/>
      <c r="AG240" s="75"/>
      <c r="AH240" s="75"/>
      <c r="AI240" s="75"/>
      <c r="AJ240" s="81"/>
      <c r="AK240" s="75"/>
      <c r="AL240" s="75"/>
    </row>
    <row r="241" spans="1:38" ht="15.75" hidden="1" thickBot="1" x14ac:dyDescent="0.3">
      <c r="A241" s="75"/>
      <c r="B241" s="75"/>
      <c r="C241" s="35">
        <f>INDEX(Données!$F$2:$L$54,MATCH(F241,Données!$F$2:$F$54,0),2)</f>
        <v>44095</v>
      </c>
      <c r="D241" s="29" t="str">
        <f t="shared" si="6"/>
        <v>#5</v>
      </c>
      <c r="E241" s="7">
        <f>Données!L40</f>
        <v>44100</v>
      </c>
      <c r="F241" s="6" t="str">
        <f>INDEX(Données!$F$2:$L$54,MATCH('#5'!E241,Données!$G$2:$G$54,1),1)</f>
        <v>39</v>
      </c>
      <c r="G241" s="18" t="str">
        <f t="shared" si="7"/>
        <v/>
      </c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1"/>
      <c r="W241" s="75"/>
      <c r="X241" s="75"/>
      <c r="Y241" s="75"/>
      <c r="Z241" s="96">
        <f>SUM(Tableau16[[#This Row],[A-1]:[G-5]])</f>
        <v>0</v>
      </c>
      <c r="AA241" s="96" t="str">
        <f>IF(AND(Z241&gt;0,Tableau16[[#This Row],[CDS]]=""),"Oui","Non")</f>
        <v>Non</v>
      </c>
      <c r="AB241" s="75"/>
      <c r="AC241" s="75"/>
      <c r="AD241" s="75"/>
      <c r="AE241" s="75"/>
      <c r="AF241" s="75"/>
      <c r="AG241" s="75"/>
      <c r="AH241" s="75"/>
      <c r="AI241" s="75"/>
      <c r="AJ241" s="81"/>
      <c r="AK241" s="75"/>
      <c r="AL241" s="75"/>
    </row>
    <row r="242" spans="1:38" ht="15.75" hidden="1" thickBot="1" x14ac:dyDescent="0.3">
      <c r="A242" s="75"/>
      <c r="B242" s="75"/>
      <c r="C242" s="35">
        <f>INDEX(Données!$F$2:$L$54,MATCH(F242,Données!$F$2:$F$54,0),2)</f>
        <v>44102</v>
      </c>
      <c r="D242" s="29" t="str">
        <f t="shared" si="6"/>
        <v>#5</v>
      </c>
      <c r="E242" s="7">
        <f>Données!G41</f>
        <v>44102</v>
      </c>
      <c r="F242" s="6" t="str">
        <f>INDEX(Données!$F$2:$L$54,MATCH('#5'!E242,Données!$G$2:$G$54,1),1)</f>
        <v>40</v>
      </c>
      <c r="G242" s="18" t="str">
        <f t="shared" si="7"/>
        <v/>
      </c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1"/>
      <c r="W242" s="75"/>
      <c r="X242" s="75"/>
      <c r="Y242" s="75"/>
      <c r="Z242" s="96">
        <f>SUM(Tableau16[[#This Row],[A-1]:[G-5]])</f>
        <v>0</v>
      </c>
      <c r="AA242" s="96" t="str">
        <f>IF(AND(Z242&gt;0,Tableau16[[#This Row],[CDS]]=""),"Oui","Non")</f>
        <v>Non</v>
      </c>
      <c r="AB242" s="75"/>
      <c r="AC242" s="75"/>
      <c r="AD242" s="75"/>
      <c r="AE242" s="75"/>
      <c r="AF242" s="75"/>
      <c r="AG242" s="75"/>
      <c r="AH242" s="75"/>
      <c r="AI242" s="75"/>
      <c r="AJ242" s="81"/>
      <c r="AK242" s="75"/>
      <c r="AL242" s="75"/>
    </row>
    <row r="243" spans="1:38" ht="15.75" hidden="1" thickBot="1" x14ac:dyDescent="0.3">
      <c r="A243" s="75"/>
      <c r="B243" s="75"/>
      <c r="C243" s="35">
        <f>INDEX(Données!$F$2:$L$54,MATCH(F243,Données!$F$2:$F$54,0),2)</f>
        <v>44102</v>
      </c>
      <c r="D243" s="29" t="str">
        <f t="shared" si="6"/>
        <v>#5</v>
      </c>
      <c r="E243" s="7">
        <f>Données!H41</f>
        <v>44103</v>
      </c>
      <c r="F243" s="6" t="str">
        <f>INDEX(Données!$F$2:$L$54,MATCH('#5'!E243,Données!$G$2:$G$54,1),1)</f>
        <v>40</v>
      </c>
      <c r="G243" s="18" t="str">
        <f t="shared" si="7"/>
        <v/>
      </c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1"/>
      <c r="W243" s="75"/>
      <c r="X243" s="75"/>
      <c r="Y243" s="75"/>
      <c r="Z243" s="96">
        <f>SUM(Tableau16[[#This Row],[A-1]:[G-5]])</f>
        <v>0</v>
      </c>
      <c r="AA243" s="96" t="str">
        <f>IF(AND(Z243&gt;0,Tableau16[[#This Row],[CDS]]=""),"Oui","Non")</f>
        <v>Non</v>
      </c>
      <c r="AB243" s="75"/>
      <c r="AC243" s="75"/>
      <c r="AD243" s="75"/>
      <c r="AE243" s="75"/>
      <c r="AF243" s="75"/>
      <c r="AG243" s="75"/>
      <c r="AH243" s="75"/>
      <c r="AI243" s="75"/>
      <c r="AJ243" s="81"/>
      <c r="AK243" s="75"/>
      <c r="AL243" s="75"/>
    </row>
    <row r="244" spans="1:38" ht="15.75" hidden="1" thickBot="1" x14ac:dyDescent="0.3">
      <c r="A244" s="75"/>
      <c r="B244" s="75"/>
      <c r="C244" s="35">
        <f>INDEX(Données!$F$2:$L$54,MATCH(F244,Données!$F$2:$F$54,0),2)</f>
        <v>44102</v>
      </c>
      <c r="D244" s="29" t="str">
        <f t="shared" si="6"/>
        <v>#5</v>
      </c>
      <c r="E244" s="7">
        <f>Données!I41</f>
        <v>44104</v>
      </c>
      <c r="F244" s="6" t="str">
        <f>INDEX(Données!$F$2:$L$54,MATCH('#5'!E244,Données!$G$2:$G$54,1),1)</f>
        <v>40</v>
      </c>
      <c r="G244" s="18" t="str">
        <f t="shared" si="7"/>
        <v/>
      </c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1"/>
      <c r="W244" s="75"/>
      <c r="X244" s="75"/>
      <c r="Y244" s="75"/>
      <c r="Z244" s="96">
        <f>SUM(Tableau16[[#This Row],[A-1]:[G-5]])</f>
        <v>0</v>
      </c>
      <c r="AA244" s="96" t="str">
        <f>IF(AND(Z244&gt;0,Tableau16[[#This Row],[CDS]]=""),"Oui","Non")</f>
        <v>Non</v>
      </c>
      <c r="AB244" s="75"/>
      <c r="AC244" s="75"/>
      <c r="AD244" s="75"/>
      <c r="AE244" s="75"/>
      <c r="AF244" s="75"/>
      <c r="AG244" s="75"/>
      <c r="AH244" s="75"/>
      <c r="AI244" s="75"/>
      <c r="AJ244" s="81"/>
      <c r="AK244" s="75"/>
      <c r="AL244" s="75"/>
    </row>
    <row r="245" spans="1:38" ht="15.75" hidden="1" thickBot="1" x14ac:dyDescent="0.3">
      <c r="A245" s="75"/>
      <c r="B245" s="75"/>
      <c r="C245" s="35">
        <f>INDEX(Données!$F$2:$L$54,MATCH(F245,Données!$F$2:$F$54,0),2)</f>
        <v>44102</v>
      </c>
      <c r="D245" s="29" t="str">
        <f t="shared" si="6"/>
        <v>#5</v>
      </c>
      <c r="E245" s="7">
        <f>Données!J41</f>
        <v>44105</v>
      </c>
      <c r="F245" s="6" t="str">
        <f>INDEX(Données!$F$2:$L$54,MATCH('#5'!E245,Données!$G$2:$G$54,1),1)</f>
        <v>40</v>
      </c>
      <c r="G245" s="18" t="str">
        <f t="shared" si="7"/>
        <v/>
      </c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1"/>
      <c r="W245" s="75"/>
      <c r="X245" s="75"/>
      <c r="Y245" s="75"/>
      <c r="Z245" s="96">
        <f>SUM(Tableau16[[#This Row],[A-1]:[G-5]])</f>
        <v>0</v>
      </c>
      <c r="AA245" s="96" t="str">
        <f>IF(AND(Z245&gt;0,Tableau16[[#This Row],[CDS]]=""),"Oui","Non")</f>
        <v>Non</v>
      </c>
      <c r="AB245" s="75"/>
      <c r="AC245" s="75"/>
      <c r="AD245" s="75"/>
      <c r="AE245" s="75"/>
      <c r="AF245" s="75"/>
      <c r="AG245" s="75"/>
      <c r="AH245" s="75"/>
      <c r="AI245" s="75"/>
      <c r="AJ245" s="81"/>
      <c r="AK245" s="75"/>
      <c r="AL245" s="75"/>
    </row>
    <row r="246" spans="1:38" ht="15.75" hidden="1" thickBot="1" x14ac:dyDescent="0.3">
      <c r="A246" s="75"/>
      <c r="B246" s="75"/>
      <c r="C246" s="35">
        <f>INDEX(Données!$F$2:$L$54,MATCH(F246,Données!$F$2:$F$54,0),2)</f>
        <v>44102</v>
      </c>
      <c r="D246" s="29" t="str">
        <f t="shared" si="6"/>
        <v>#5</v>
      </c>
      <c r="E246" s="7">
        <f>Données!K41</f>
        <v>44106</v>
      </c>
      <c r="F246" s="6" t="str">
        <f>INDEX(Données!$F$2:$L$54,MATCH('#5'!E246,Données!$G$2:$G$54,1),1)</f>
        <v>40</v>
      </c>
      <c r="G246" s="18" t="str">
        <f t="shared" si="7"/>
        <v/>
      </c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1"/>
      <c r="W246" s="75"/>
      <c r="X246" s="75"/>
      <c r="Y246" s="75"/>
      <c r="Z246" s="96">
        <f>SUM(Tableau16[[#This Row],[A-1]:[G-5]])</f>
        <v>0</v>
      </c>
      <c r="AA246" s="96" t="str">
        <f>IF(AND(Z246&gt;0,Tableau16[[#This Row],[CDS]]=""),"Oui","Non")</f>
        <v>Non</v>
      </c>
      <c r="AB246" s="75"/>
      <c r="AC246" s="75"/>
      <c r="AD246" s="75"/>
      <c r="AE246" s="75"/>
      <c r="AF246" s="75"/>
      <c r="AG246" s="75"/>
      <c r="AH246" s="75"/>
      <c r="AI246" s="75"/>
      <c r="AJ246" s="81"/>
      <c r="AK246" s="75"/>
      <c r="AL246" s="75"/>
    </row>
    <row r="247" spans="1:38" ht="15.75" hidden="1" thickBot="1" x14ac:dyDescent="0.3">
      <c r="A247" s="75"/>
      <c r="B247" s="75"/>
      <c r="C247" s="35">
        <f>INDEX(Données!$F$2:$L$54,MATCH(F247,Données!$F$2:$F$54,0),2)</f>
        <v>44102</v>
      </c>
      <c r="D247" s="29" t="str">
        <f t="shared" si="6"/>
        <v>#5</v>
      </c>
      <c r="E247" s="7">
        <f>Données!L41</f>
        <v>44107</v>
      </c>
      <c r="F247" s="6" t="str">
        <f>INDEX(Données!$F$2:$L$54,MATCH('#5'!E247,Données!$G$2:$G$54,1),1)</f>
        <v>40</v>
      </c>
      <c r="G247" s="18" t="str">
        <f t="shared" si="7"/>
        <v/>
      </c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1"/>
      <c r="W247" s="75"/>
      <c r="X247" s="75"/>
      <c r="Y247" s="75"/>
      <c r="Z247" s="96">
        <f>SUM(Tableau16[[#This Row],[A-1]:[G-5]])</f>
        <v>0</v>
      </c>
      <c r="AA247" s="96" t="str">
        <f>IF(AND(Z247&gt;0,Tableau16[[#This Row],[CDS]]=""),"Oui","Non")</f>
        <v>Non</v>
      </c>
      <c r="AB247" s="75"/>
      <c r="AC247" s="75"/>
      <c r="AD247" s="75"/>
      <c r="AE247" s="75"/>
      <c r="AF247" s="75"/>
      <c r="AG247" s="75"/>
      <c r="AH247" s="75"/>
      <c r="AI247" s="75"/>
      <c r="AJ247" s="81"/>
      <c r="AK247" s="75"/>
      <c r="AL247" s="75"/>
    </row>
    <row r="248" spans="1:38" ht="15.75" hidden="1" thickBot="1" x14ac:dyDescent="0.3">
      <c r="A248" s="75"/>
      <c r="B248" s="75"/>
      <c r="C248" s="35">
        <f>INDEX(Données!$F$2:$L$54,MATCH(F248,Données!$F$2:$F$54,0),2)</f>
        <v>44109</v>
      </c>
      <c r="D248" s="29" t="str">
        <f t="shared" si="6"/>
        <v>#5</v>
      </c>
      <c r="E248" s="7">
        <f>Données!G42</f>
        <v>44109</v>
      </c>
      <c r="F248" s="6" t="str">
        <f>INDEX(Données!$F$2:$L$54,MATCH('#5'!E248,Données!$G$2:$G$54,1),1)</f>
        <v>41</v>
      </c>
      <c r="G248" s="18" t="str">
        <f t="shared" si="7"/>
        <v/>
      </c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1"/>
      <c r="W248" s="75"/>
      <c r="X248" s="75"/>
      <c r="Y248" s="75"/>
      <c r="Z248" s="96">
        <f>SUM(Tableau16[[#This Row],[A-1]:[G-5]])</f>
        <v>0</v>
      </c>
      <c r="AA248" s="96" t="str">
        <f>IF(AND(Z248&gt;0,Tableau16[[#This Row],[CDS]]=""),"Oui","Non")</f>
        <v>Non</v>
      </c>
      <c r="AB248" s="75"/>
      <c r="AC248" s="75"/>
      <c r="AD248" s="75"/>
      <c r="AE248" s="75"/>
      <c r="AF248" s="75"/>
      <c r="AG248" s="75"/>
      <c r="AH248" s="75"/>
      <c r="AI248" s="75"/>
      <c r="AJ248" s="81"/>
      <c r="AK248" s="75"/>
      <c r="AL248" s="75"/>
    </row>
    <row r="249" spans="1:38" ht="15.75" hidden="1" thickBot="1" x14ac:dyDescent="0.3">
      <c r="A249" s="75"/>
      <c r="B249" s="75"/>
      <c r="C249" s="35">
        <f>INDEX(Données!$F$2:$L$54,MATCH(F249,Données!$F$2:$F$54,0),2)</f>
        <v>44109</v>
      </c>
      <c r="D249" s="29" t="str">
        <f t="shared" si="6"/>
        <v>#5</v>
      </c>
      <c r="E249" s="7">
        <f>Données!H42</f>
        <v>44110</v>
      </c>
      <c r="F249" s="6" t="str">
        <f>INDEX(Données!$F$2:$L$54,MATCH('#5'!E249,Données!$G$2:$G$54,1),1)</f>
        <v>41</v>
      </c>
      <c r="G249" s="18" t="str">
        <f t="shared" si="7"/>
        <v/>
      </c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1"/>
      <c r="W249" s="75"/>
      <c r="X249" s="75"/>
      <c r="Y249" s="75"/>
      <c r="Z249" s="96">
        <f>SUM(Tableau16[[#This Row],[A-1]:[G-5]])</f>
        <v>0</v>
      </c>
      <c r="AA249" s="96" t="str">
        <f>IF(AND(Z249&gt;0,Tableau16[[#This Row],[CDS]]=""),"Oui","Non")</f>
        <v>Non</v>
      </c>
      <c r="AB249" s="75"/>
      <c r="AC249" s="75"/>
      <c r="AD249" s="75"/>
      <c r="AE249" s="75"/>
      <c r="AF249" s="75"/>
      <c r="AG249" s="75"/>
      <c r="AH249" s="75"/>
      <c r="AI249" s="75"/>
      <c r="AJ249" s="81"/>
      <c r="AK249" s="75"/>
      <c r="AL249" s="75"/>
    </row>
    <row r="250" spans="1:38" ht="15.75" hidden="1" thickBot="1" x14ac:dyDescent="0.3">
      <c r="A250" s="75"/>
      <c r="B250" s="75"/>
      <c r="C250" s="35">
        <f>INDEX(Données!$F$2:$L$54,MATCH(F250,Données!$F$2:$F$54,0),2)</f>
        <v>44109</v>
      </c>
      <c r="D250" s="29" t="str">
        <f t="shared" si="6"/>
        <v>#5</v>
      </c>
      <c r="E250" s="7">
        <f>Données!I42</f>
        <v>44111</v>
      </c>
      <c r="F250" s="6" t="str">
        <f>INDEX(Données!$F$2:$L$54,MATCH('#5'!E250,Données!$G$2:$G$54,1),1)</f>
        <v>41</v>
      </c>
      <c r="G250" s="18" t="str">
        <f t="shared" si="7"/>
        <v/>
      </c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1"/>
      <c r="W250" s="75"/>
      <c r="X250" s="75"/>
      <c r="Y250" s="75"/>
      <c r="Z250" s="96">
        <f>SUM(Tableau16[[#This Row],[A-1]:[G-5]])</f>
        <v>0</v>
      </c>
      <c r="AA250" s="96" t="str">
        <f>IF(AND(Z250&gt;0,Tableau16[[#This Row],[CDS]]=""),"Oui","Non")</f>
        <v>Non</v>
      </c>
      <c r="AB250" s="75"/>
      <c r="AC250" s="75"/>
      <c r="AD250" s="75"/>
      <c r="AE250" s="75"/>
      <c r="AF250" s="75"/>
      <c r="AG250" s="75"/>
      <c r="AH250" s="75"/>
      <c r="AI250" s="75"/>
      <c r="AJ250" s="81"/>
      <c r="AK250" s="75"/>
      <c r="AL250" s="75"/>
    </row>
    <row r="251" spans="1:38" ht="15.75" hidden="1" thickBot="1" x14ac:dyDescent="0.3">
      <c r="A251" s="75"/>
      <c r="B251" s="75"/>
      <c r="C251" s="35">
        <f>INDEX(Données!$F$2:$L$54,MATCH(F251,Données!$F$2:$F$54,0),2)</f>
        <v>44109</v>
      </c>
      <c r="D251" s="29" t="str">
        <f t="shared" si="6"/>
        <v>#5</v>
      </c>
      <c r="E251" s="7">
        <f>Données!J42</f>
        <v>44112</v>
      </c>
      <c r="F251" s="6" t="str">
        <f>INDEX(Données!$F$2:$L$54,MATCH('#5'!E251,Données!$G$2:$G$54,1),1)</f>
        <v>41</v>
      </c>
      <c r="G251" s="18" t="str">
        <f t="shared" si="7"/>
        <v/>
      </c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1"/>
      <c r="W251" s="75"/>
      <c r="X251" s="75"/>
      <c r="Y251" s="75"/>
      <c r="Z251" s="96">
        <f>SUM(Tableau16[[#This Row],[A-1]:[G-5]])</f>
        <v>0</v>
      </c>
      <c r="AA251" s="96" t="str">
        <f>IF(AND(Z251&gt;0,Tableau16[[#This Row],[CDS]]=""),"Oui","Non")</f>
        <v>Non</v>
      </c>
      <c r="AB251" s="75"/>
      <c r="AC251" s="75"/>
      <c r="AD251" s="75"/>
      <c r="AE251" s="75"/>
      <c r="AF251" s="75"/>
      <c r="AG251" s="75"/>
      <c r="AH251" s="75"/>
      <c r="AI251" s="75"/>
      <c r="AJ251" s="81"/>
      <c r="AK251" s="75"/>
      <c r="AL251" s="75"/>
    </row>
    <row r="252" spans="1:38" ht="15.75" hidden="1" thickBot="1" x14ac:dyDescent="0.3">
      <c r="A252" s="75"/>
      <c r="B252" s="75"/>
      <c r="C252" s="35">
        <f>INDEX(Données!$F$2:$L$54,MATCH(F252,Données!$F$2:$F$54,0),2)</f>
        <v>44109</v>
      </c>
      <c r="D252" s="29" t="str">
        <f t="shared" si="6"/>
        <v>#5</v>
      </c>
      <c r="E252" s="7">
        <f>Données!K42</f>
        <v>44113</v>
      </c>
      <c r="F252" s="6" t="str">
        <f>INDEX(Données!$F$2:$L$54,MATCH('#5'!E252,Données!$G$2:$G$54,1),1)</f>
        <v>41</v>
      </c>
      <c r="G252" s="18" t="str">
        <f t="shared" si="7"/>
        <v/>
      </c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1"/>
      <c r="W252" s="75"/>
      <c r="X252" s="75"/>
      <c r="Y252" s="75"/>
      <c r="Z252" s="96">
        <f>SUM(Tableau16[[#This Row],[A-1]:[G-5]])</f>
        <v>0</v>
      </c>
      <c r="AA252" s="96" t="str">
        <f>IF(AND(Z252&gt;0,Tableau16[[#This Row],[CDS]]=""),"Oui","Non")</f>
        <v>Non</v>
      </c>
      <c r="AB252" s="75"/>
      <c r="AC252" s="75"/>
      <c r="AD252" s="75"/>
      <c r="AE252" s="75"/>
      <c r="AF252" s="75"/>
      <c r="AG252" s="75"/>
      <c r="AH252" s="75"/>
      <c r="AI252" s="75"/>
      <c r="AJ252" s="81"/>
      <c r="AK252" s="75"/>
      <c r="AL252" s="75"/>
    </row>
    <row r="253" spans="1:38" ht="15.75" hidden="1" thickBot="1" x14ac:dyDescent="0.3">
      <c r="A253" s="75"/>
      <c r="B253" s="75"/>
      <c r="C253" s="35">
        <f>INDEX(Données!$F$2:$L$54,MATCH(F253,Données!$F$2:$F$54,0),2)</f>
        <v>44109</v>
      </c>
      <c r="D253" s="29" t="str">
        <f t="shared" si="6"/>
        <v>#5</v>
      </c>
      <c r="E253" s="7">
        <f>Données!L42</f>
        <v>44114</v>
      </c>
      <c r="F253" s="6" t="str">
        <f>INDEX(Données!$F$2:$L$54,MATCH('#5'!E253,Données!$G$2:$G$54,1),1)</f>
        <v>41</v>
      </c>
      <c r="G253" s="18" t="str">
        <f t="shared" si="7"/>
        <v/>
      </c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1"/>
      <c r="W253" s="75"/>
      <c r="X253" s="75"/>
      <c r="Y253" s="75"/>
      <c r="Z253" s="96">
        <f>SUM(Tableau16[[#This Row],[A-1]:[G-5]])</f>
        <v>0</v>
      </c>
      <c r="AA253" s="96" t="str">
        <f>IF(AND(Z253&gt;0,Tableau16[[#This Row],[CDS]]=""),"Oui","Non")</f>
        <v>Non</v>
      </c>
      <c r="AB253" s="75"/>
      <c r="AC253" s="75"/>
      <c r="AD253" s="75"/>
      <c r="AE253" s="75"/>
      <c r="AF253" s="75"/>
      <c r="AG253" s="75"/>
      <c r="AH253" s="75"/>
      <c r="AI253" s="75"/>
      <c r="AJ253" s="81"/>
      <c r="AK253" s="75"/>
      <c r="AL253" s="75"/>
    </row>
    <row r="254" spans="1:38" ht="15.75" hidden="1" thickBot="1" x14ac:dyDescent="0.3">
      <c r="A254" s="75"/>
      <c r="B254" s="75"/>
      <c r="C254" s="35">
        <f>INDEX(Données!$F$2:$L$54,MATCH(F254,Données!$F$2:$F$54,0),2)</f>
        <v>44116</v>
      </c>
      <c r="D254" s="29" t="str">
        <f t="shared" si="6"/>
        <v>#5</v>
      </c>
      <c r="E254" s="7">
        <f>Données!G43</f>
        <v>44116</v>
      </c>
      <c r="F254" s="6" t="str">
        <f>INDEX(Données!$F$2:$L$54,MATCH('#5'!E254,Données!$G$2:$G$54,1),1)</f>
        <v>42</v>
      </c>
      <c r="G254" s="18" t="str">
        <f t="shared" si="7"/>
        <v/>
      </c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1"/>
      <c r="W254" s="75"/>
      <c r="X254" s="75"/>
      <c r="Y254" s="75"/>
      <c r="Z254" s="96">
        <f>SUM(Tableau16[[#This Row],[A-1]:[G-5]])</f>
        <v>0</v>
      </c>
      <c r="AA254" s="96" t="str">
        <f>IF(AND(Z254&gt;0,Tableau16[[#This Row],[CDS]]=""),"Oui","Non")</f>
        <v>Non</v>
      </c>
      <c r="AB254" s="75"/>
      <c r="AC254" s="75"/>
      <c r="AD254" s="75"/>
      <c r="AE254" s="75"/>
      <c r="AF254" s="75"/>
      <c r="AG254" s="75"/>
      <c r="AH254" s="75"/>
      <c r="AI254" s="75"/>
      <c r="AJ254" s="81"/>
      <c r="AK254" s="75"/>
      <c r="AL254" s="75"/>
    </row>
    <row r="255" spans="1:38" ht="15.75" hidden="1" thickBot="1" x14ac:dyDescent="0.3">
      <c r="A255" s="75"/>
      <c r="B255" s="75"/>
      <c r="C255" s="35">
        <f>INDEX(Données!$F$2:$L$54,MATCH(F255,Données!$F$2:$F$54,0),2)</f>
        <v>44116</v>
      </c>
      <c r="D255" s="29" t="str">
        <f t="shared" si="6"/>
        <v>#5</v>
      </c>
      <c r="E255" s="7">
        <f>Données!H43</f>
        <v>44117</v>
      </c>
      <c r="F255" s="6" t="str">
        <f>INDEX(Données!$F$2:$L$54,MATCH('#5'!E255,Données!$G$2:$G$54,1),1)</f>
        <v>42</v>
      </c>
      <c r="G255" s="18" t="str">
        <f t="shared" si="7"/>
        <v/>
      </c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1"/>
      <c r="W255" s="75"/>
      <c r="X255" s="75"/>
      <c r="Y255" s="75"/>
      <c r="Z255" s="96">
        <f>SUM(Tableau16[[#This Row],[A-1]:[G-5]])</f>
        <v>0</v>
      </c>
      <c r="AA255" s="96" t="str">
        <f>IF(AND(Z255&gt;0,Tableau16[[#This Row],[CDS]]=""),"Oui","Non")</f>
        <v>Non</v>
      </c>
      <c r="AB255" s="75"/>
      <c r="AC255" s="75"/>
      <c r="AD255" s="75"/>
      <c r="AE255" s="75"/>
      <c r="AF255" s="75"/>
      <c r="AG255" s="75"/>
      <c r="AH255" s="75"/>
      <c r="AI255" s="75"/>
      <c r="AJ255" s="81"/>
      <c r="AK255" s="75"/>
      <c r="AL255" s="75"/>
    </row>
    <row r="256" spans="1:38" ht="15.75" hidden="1" thickBot="1" x14ac:dyDescent="0.3">
      <c r="A256" s="75"/>
      <c r="B256" s="75"/>
      <c r="C256" s="35">
        <f>INDEX(Données!$F$2:$L$54,MATCH(F256,Données!$F$2:$F$54,0),2)</f>
        <v>44116</v>
      </c>
      <c r="D256" s="29" t="str">
        <f t="shared" si="6"/>
        <v>#5</v>
      </c>
      <c r="E256" s="7">
        <f>Données!I43</f>
        <v>44118</v>
      </c>
      <c r="F256" s="6" t="str">
        <f>INDEX(Données!$F$2:$L$54,MATCH('#5'!E256,Données!$G$2:$G$54,1),1)</f>
        <v>42</v>
      </c>
      <c r="G256" s="18" t="str">
        <f t="shared" si="7"/>
        <v/>
      </c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1"/>
      <c r="W256" s="75"/>
      <c r="X256" s="75"/>
      <c r="Y256" s="75"/>
      <c r="Z256" s="96">
        <f>SUM(Tableau16[[#This Row],[A-1]:[G-5]])</f>
        <v>0</v>
      </c>
      <c r="AA256" s="96" t="str">
        <f>IF(AND(Z256&gt;0,Tableau16[[#This Row],[CDS]]=""),"Oui","Non")</f>
        <v>Non</v>
      </c>
      <c r="AB256" s="75"/>
      <c r="AC256" s="75"/>
      <c r="AD256" s="75"/>
      <c r="AE256" s="75"/>
      <c r="AF256" s="75"/>
      <c r="AG256" s="75"/>
      <c r="AH256" s="75"/>
      <c r="AI256" s="75"/>
      <c r="AJ256" s="81"/>
      <c r="AK256" s="75"/>
      <c r="AL256" s="75"/>
    </row>
    <row r="257" spans="1:38" ht="15.75" hidden="1" thickBot="1" x14ac:dyDescent="0.3">
      <c r="A257" s="75"/>
      <c r="B257" s="75"/>
      <c r="C257" s="35">
        <f>INDEX(Données!$F$2:$L$54,MATCH(F257,Données!$F$2:$F$54,0),2)</f>
        <v>44116</v>
      </c>
      <c r="D257" s="29" t="str">
        <f t="shared" si="6"/>
        <v>#5</v>
      </c>
      <c r="E257" s="7">
        <f>Données!J43</f>
        <v>44119</v>
      </c>
      <c r="F257" s="6" t="str">
        <f>INDEX(Données!$F$2:$L$54,MATCH('#5'!E257,Données!$G$2:$G$54,1),1)</f>
        <v>42</v>
      </c>
      <c r="G257" s="18" t="str">
        <f t="shared" si="7"/>
        <v/>
      </c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1"/>
      <c r="W257" s="75"/>
      <c r="X257" s="75"/>
      <c r="Y257" s="75"/>
      <c r="Z257" s="96">
        <f>SUM(Tableau16[[#This Row],[A-1]:[G-5]])</f>
        <v>0</v>
      </c>
      <c r="AA257" s="96" t="str">
        <f>IF(AND(Z257&gt;0,Tableau16[[#This Row],[CDS]]=""),"Oui","Non")</f>
        <v>Non</v>
      </c>
      <c r="AB257" s="75"/>
      <c r="AC257" s="75"/>
      <c r="AD257" s="75"/>
      <c r="AE257" s="75"/>
      <c r="AF257" s="75"/>
      <c r="AG257" s="75"/>
      <c r="AH257" s="75"/>
      <c r="AI257" s="75"/>
      <c r="AJ257" s="81"/>
      <c r="AK257" s="75"/>
      <c r="AL257" s="75"/>
    </row>
    <row r="258" spans="1:38" ht="15.75" hidden="1" thickBot="1" x14ac:dyDescent="0.3">
      <c r="A258" s="75"/>
      <c r="B258" s="75"/>
      <c r="C258" s="35">
        <f>INDEX(Données!$F$2:$L$54,MATCH(F258,Données!$F$2:$F$54,0),2)</f>
        <v>44116</v>
      </c>
      <c r="D258" s="29" t="str">
        <f t="shared" si="6"/>
        <v>#5</v>
      </c>
      <c r="E258" s="7">
        <f>Données!K43</f>
        <v>44120</v>
      </c>
      <c r="F258" s="6" t="str">
        <f>INDEX(Données!$F$2:$L$54,MATCH('#5'!E258,Données!$G$2:$G$54,1),1)</f>
        <v>42</v>
      </c>
      <c r="G258" s="18" t="str">
        <f t="shared" si="7"/>
        <v/>
      </c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1"/>
      <c r="W258" s="75"/>
      <c r="X258" s="75"/>
      <c r="Y258" s="75"/>
      <c r="Z258" s="96">
        <f>SUM(Tableau16[[#This Row],[A-1]:[G-5]])</f>
        <v>0</v>
      </c>
      <c r="AA258" s="96" t="str">
        <f>IF(AND(Z258&gt;0,Tableau16[[#This Row],[CDS]]=""),"Oui","Non")</f>
        <v>Non</v>
      </c>
      <c r="AB258" s="75"/>
      <c r="AC258" s="75"/>
      <c r="AD258" s="75"/>
      <c r="AE258" s="75"/>
      <c r="AF258" s="75"/>
      <c r="AG258" s="75"/>
      <c r="AH258" s="75"/>
      <c r="AI258" s="75"/>
      <c r="AJ258" s="81"/>
      <c r="AK258" s="75"/>
      <c r="AL258" s="75"/>
    </row>
    <row r="259" spans="1:38" ht="15.75" hidden="1" thickBot="1" x14ac:dyDescent="0.3">
      <c r="A259" s="75"/>
      <c r="B259" s="75"/>
      <c r="C259" s="35">
        <f>INDEX(Données!$F$2:$L$54,MATCH(F259,Données!$F$2:$F$54,0),2)</f>
        <v>44116</v>
      </c>
      <c r="D259" s="29" t="str">
        <f t="shared" si="6"/>
        <v>#5</v>
      </c>
      <c r="E259" s="7">
        <f>Données!L43</f>
        <v>44121</v>
      </c>
      <c r="F259" s="6" t="str">
        <f>INDEX(Données!$F$2:$L$54,MATCH('#5'!E259,Données!$G$2:$G$54,1),1)</f>
        <v>42</v>
      </c>
      <c r="G259" s="18" t="str">
        <f t="shared" si="7"/>
        <v/>
      </c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1"/>
      <c r="W259" s="75"/>
      <c r="X259" s="75"/>
      <c r="Y259" s="75"/>
      <c r="Z259" s="96">
        <f>SUM(Tableau16[[#This Row],[A-1]:[G-5]])</f>
        <v>0</v>
      </c>
      <c r="AA259" s="96" t="str">
        <f>IF(AND(Z259&gt;0,Tableau16[[#This Row],[CDS]]=""),"Oui","Non")</f>
        <v>Non</v>
      </c>
      <c r="AB259" s="75"/>
      <c r="AC259" s="75"/>
      <c r="AD259" s="75"/>
      <c r="AE259" s="75"/>
      <c r="AF259" s="75"/>
      <c r="AG259" s="75"/>
      <c r="AH259" s="75"/>
      <c r="AI259" s="75"/>
      <c r="AJ259" s="81"/>
      <c r="AK259" s="75"/>
      <c r="AL259" s="75"/>
    </row>
    <row r="260" spans="1:38" ht="15.75" hidden="1" thickBot="1" x14ac:dyDescent="0.3">
      <c r="A260" s="75"/>
      <c r="B260" s="75"/>
      <c r="C260" s="35">
        <f>INDEX(Données!$F$2:$L$54,MATCH(F260,Données!$F$2:$F$54,0),2)</f>
        <v>44123</v>
      </c>
      <c r="D260" s="29" t="str">
        <f t="shared" si="6"/>
        <v>#5</v>
      </c>
      <c r="E260" s="7">
        <f>Données!G44</f>
        <v>44123</v>
      </c>
      <c r="F260" s="6" t="str">
        <f>INDEX(Données!$F$2:$L$54,MATCH('#5'!E260,Données!$G$2:$G$54,1),1)</f>
        <v>43</v>
      </c>
      <c r="G260" s="18" t="str">
        <f t="shared" si="7"/>
        <v/>
      </c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1"/>
      <c r="W260" s="75"/>
      <c r="X260" s="75"/>
      <c r="Y260" s="75"/>
      <c r="Z260" s="96">
        <f>SUM(Tableau16[[#This Row],[A-1]:[G-5]])</f>
        <v>0</v>
      </c>
      <c r="AA260" s="96" t="str">
        <f>IF(AND(Z260&gt;0,Tableau16[[#This Row],[CDS]]=""),"Oui","Non")</f>
        <v>Non</v>
      </c>
      <c r="AB260" s="75"/>
      <c r="AC260" s="75"/>
      <c r="AD260" s="75"/>
      <c r="AE260" s="75"/>
      <c r="AF260" s="75"/>
      <c r="AG260" s="75"/>
      <c r="AH260" s="75"/>
      <c r="AI260" s="75"/>
      <c r="AJ260" s="81"/>
      <c r="AK260" s="75"/>
      <c r="AL260" s="75"/>
    </row>
    <row r="261" spans="1:38" ht="15.75" hidden="1" thickBot="1" x14ac:dyDescent="0.3">
      <c r="A261" s="75"/>
      <c r="B261" s="75"/>
      <c r="C261" s="35">
        <f>INDEX(Données!$F$2:$L$54,MATCH(F261,Données!$F$2:$F$54,0),2)</f>
        <v>44123</v>
      </c>
      <c r="D261" s="29" t="str">
        <f t="shared" si="6"/>
        <v>#5</v>
      </c>
      <c r="E261" s="7">
        <f>Données!H44</f>
        <v>44124</v>
      </c>
      <c r="F261" s="6" t="str">
        <f>INDEX(Données!$F$2:$L$54,MATCH('#5'!E261,Données!$G$2:$G$54,1),1)</f>
        <v>43</v>
      </c>
      <c r="G261" s="18" t="str">
        <f t="shared" si="7"/>
        <v/>
      </c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1"/>
      <c r="W261" s="75"/>
      <c r="X261" s="75"/>
      <c r="Y261" s="75"/>
      <c r="Z261" s="96">
        <f>SUM(Tableau16[[#This Row],[A-1]:[G-5]])</f>
        <v>0</v>
      </c>
      <c r="AA261" s="96" t="str">
        <f>IF(AND(Z261&gt;0,Tableau16[[#This Row],[CDS]]=""),"Oui","Non")</f>
        <v>Non</v>
      </c>
      <c r="AB261" s="75"/>
      <c r="AC261" s="75"/>
      <c r="AD261" s="75"/>
      <c r="AE261" s="75"/>
      <c r="AF261" s="75"/>
      <c r="AG261" s="75"/>
      <c r="AH261" s="75"/>
      <c r="AI261" s="75"/>
      <c r="AJ261" s="81"/>
      <c r="AK261" s="75"/>
      <c r="AL261" s="75"/>
    </row>
    <row r="262" spans="1:38" ht="15.75" hidden="1" thickBot="1" x14ac:dyDescent="0.3">
      <c r="A262" s="75"/>
      <c r="B262" s="75"/>
      <c r="C262" s="35">
        <f>INDEX(Données!$F$2:$L$54,MATCH(F262,Données!$F$2:$F$54,0),2)</f>
        <v>44123</v>
      </c>
      <c r="D262" s="29" t="str">
        <f t="shared" si="6"/>
        <v>#5</v>
      </c>
      <c r="E262" s="7">
        <f>Données!I44</f>
        <v>44125</v>
      </c>
      <c r="F262" s="6" t="str">
        <f>INDEX(Données!$F$2:$L$54,MATCH('#5'!E262,Données!$G$2:$G$54,1),1)</f>
        <v>43</v>
      </c>
      <c r="G262" s="18" t="str">
        <f t="shared" si="7"/>
        <v/>
      </c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1"/>
      <c r="W262" s="75"/>
      <c r="X262" s="75"/>
      <c r="Y262" s="75"/>
      <c r="Z262" s="96">
        <f>SUM(Tableau16[[#This Row],[A-1]:[G-5]])</f>
        <v>0</v>
      </c>
      <c r="AA262" s="96" t="str">
        <f>IF(AND(Z262&gt;0,Tableau16[[#This Row],[CDS]]=""),"Oui","Non")</f>
        <v>Non</v>
      </c>
      <c r="AB262" s="75"/>
      <c r="AC262" s="75"/>
      <c r="AD262" s="75"/>
      <c r="AE262" s="75"/>
      <c r="AF262" s="75"/>
      <c r="AG262" s="75"/>
      <c r="AH262" s="75"/>
      <c r="AI262" s="75"/>
      <c r="AJ262" s="81"/>
      <c r="AK262" s="75"/>
      <c r="AL262" s="75"/>
    </row>
    <row r="263" spans="1:38" ht="15.75" hidden="1" thickBot="1" x14ac:dyDescent="0.3">
      <c r="A263" s="75"/>
      <c r="B263" s="75"/>
      <c r="C263" s="35">
        <f>INDEX(Données!$F$2:$L$54,MATCH(F263,Données!$F$2:$F$54,0),2)</f>
        <v>44123</v>
      </c>
      <c r="D263" s="29" t="str">
        <f t="shared" si="6"/>
        <v>#5</v>
      </c>
      <c r="E263" s="7">
        <f>Données!J44</f>
        <v>44126</v>
      </c>
      <c r="F263" s="6" t="str">
        <f>INDEX(Données!$F$2:$L$54,MATCH('#5'!E263,Données!$G$2:$G$54,1),1)</f>
        <v>43</v>
      </c>
      <c r="G263" s="18" t="str">
        <f t="shared" si="7"/>
        <v/>
      </c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1"/>
      <c r="W263" s="75"/>
      <c r="X263" s="75"/>
      <c r="Y263" s="75"/>
      <c r="Z263" s="96">
        <f>SUM(Tableau16[[#This Row],[A-1]:[G-5]])</f>
        <v>0</v>
      </c>
      <c r="AA263" s="96" t="str">
        <f>IF(AND(Z263&gt;0,Tableau16[[#This Row],[CDS]]=""),"Oui","Non")</f>
        <v>Non</v>
      </c>
      <c r="AB263" s="75"/>
      <c r="AC263" s="75"/>
      <c r="AD263" s="75"/>
      <c r="AE263" s="75"/>
      <c r="AF263" s="75"/>
      <c r="AG263" s="75"/>
      <c r="AH263" s="75"/>
      <c r="AI263" s="75"/>
      <c r="AJ263" s="81"/>
      <c r="AK263" s="75"/>
      <c r="AL263" s="75"/>
    </row>
    <row r="264" spans="1:38" ht="15.75" hidden="1" thickBot="1" x14ac:dyDescent="0.3">
      <c r="A264" s="75"/>
      <c r="B264" s="75"/>
      <c r="C264" s="35">
        <f>INDEX(Données!$F$2:$L$54,MATCH(F264,Données!$F$2:$F$54,0),2)</f>
        <v>44123</v>
      </c>
      <c r="D264" s="29" t="str">
        <f t="shared" ref="D264:D325" si="8">$E$4</f>
        <v>#5</v>
      </c>
      <c r="E264" s="7">
        <f>Données!K44</f>
        <v>44127</v>
      </c>
      <c r="F264" s="6" t="str">
        <f>INDEX(Données!$F$2:$L$54,MATCH('#5'!E264,Données!$G$2:$G$54,1),1)</f>
        <v>43</v>
      </c>
      <c r="G264" s="18" t="str">
        <f t="shared" ref="G264:G325" si="9">IF(AND($V$5=1),"PS-1",IF(AND($V$5=2),"PS-2",IF(AND($V$5=4),"PS-4",IF(AND($V$5=6),"S.O.",IF(AND($V$5=5),"")))))</f>
        <v/>
      </c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1"/>
      <c r="W264" s="75"/>
      <c r="X264" s="75"/>
      <c r="Y264" s="75"/>
      <c r="Z264" s="96">
        <f>SUM(Tableau16[[#This Row],[A-1]:[G-5]])</f>
        <v>0</v>
      </c>
      <c r="AA264" s="96" t="str">
        <f>IF(AND(Z264&gt;0,Tableau16[[#This Row],[CDS]]=""),"Oui","Non")</f>
        <v>Non</v>
      </c>
      <c r="AB264" s="75"/>
      <c r="AC264" s="75"/>
      <c r="AD264" s="75"/>
      <c r="AE264" s="75"/>
      <c r="AF264" s="75"/>
      <c r="AG264" s="75"/>
      <c r="AH264" s="75"/>
      <c r="AI264" s="75"/>
      <c r="AJ264" s="81"/>
      <c r="AK264" s="75"/>
      <c r="AL264" s="75"/>
    </row>
    <row r="265" spans="1:38" ht="15.75" hidden="1" thickBot="1" x14ac:dyDescent="0.3">
      <c r="A265" s="75"/>
      <c r="B265" s="75"/>
      <c r="C265" s="35">
        <f>INDEX(Données!$F$2:$L$54,MATCH(F265,Données!$F$2:$F$54,0),2)</f>
        <v>44123</v>
      </c>
      <c r="D265" s="29" t="str">
        <f t="shared" si="8"/>
        <v>#5</v>
      </c>
      <c r="E265" s="7">
        <f>Données!L44</f>
        <v>44128</v>
      </c>
      <c r="F265" s="6" t="str">
        <f>INDEX(Données!$F$2:$L$54,MATCH('#5'!E265,Données!$G$2:$G$54,1),1)</f>
        <v>43</v>
      </c>
      <c r="G265" s="18" t="str">
        <f t="shared" si="9"/>
        <v/>
      </c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1"/>
      <c r="W265" s="75"/>
      <c r="X265" s="75"/>
      <c r="Y265" s="75"/>
      <c r="Z265" s="96">
        <f>SUM(Tableau16[[#This Row],[A-1]:[G-5]])</f>
        <v>0</v>
      </c>
      <c r="AA265" s="96" t="str">
        <f>IF(AND(Z265&gt;0,Tableau16[[#This Row],[CDS]]=""),"Oui","Non")</f>
        <v>Non</v>
      </c>
      <c r="AB265" s="75"/>
      <c r="AC265" s="75"/>
      <c r="AD265" s="75"/>
      <c r="AE265" s="75"/>
      <c r="AF265" s="75"/>
      <c r="AG265" s="75"/>
      <c r="AH265" s="75"/>
      <c r="AI265" s="75"/>
      <c r="AJ265" s="81"/>
      <c r="AK265" s="75"/>
      <c r="AL265" s="75"/>
    </row>
    <row r="266" spans="1:38" ht="15.75" hidden="1" thickBot="1" x14ac:dyDescent="0.3">
      <c r="A266" s="75"/>
      <c r="B266" s="75"/>
      <c r="C266" s="35">
        <f>INDEX(Données!$F$2:$L$54,MATCH(F266,Données!$F$2:$F$54,0),2)</f>
        <v>44130</v>
      </c>
      <c r="D266" s="29" t="str">
        <f t="shared" si="8"/>
        <v>#5</v>
      </c>
      <c r="E266" s="7">
        <f>Données!G45</f>
        <v>44130</v>
      </c>
      <c r="F266" s="6" t="str">
        <f>INDEX(Données!$F$2:$L$54,MATCH('#5'!E266,Données!$G$2:$G$54,1),1)</f>
        <v>44</v>
      </c>
      <c r="G266" s="18" t="str">
        <f t="shared" si="9"/>
        <v/>
      </c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1"/>
      <c r="W266" s="75"/>
      <c r="X266" s="75"/>
      <c r="Y266" s="75"/>
      <c r="Z266" s="96">
        <f>SUM(Tableau16[[#This Row],[A-1]:[G-5]])</f>
        <v>0</v>
      </c>
      <c r="AA266" s="96" t="str">
        <f>IF(AND(Z266&gt;0,Tableau16[[#This Row],[CDS]]=""),"Oui","Non")</f>
        <v>Non</v>
      </c>
      <c r="AB266" s="75"/>
      <c r="AC266" s="75"/>
      <c r="AD266" s="75"/>
      <c r="AE266" s="75"/>
      <c r="AF266" s="75"/>
      <c r="AG266" s="75"/>
      <c r="AH266" s="75"/>
      <c r="AI266" s="75"/>
      <c r="AJ266" s="81"/>
      <c r="AK266" s="75"/>
      <c r="AL266" s="75"/>
    </row>
    <row r="267" spans="1:38" ht="15.75" hidden="1" thickBot="1" x14ac:dyDescent="0.3">
      <c r="A267" s="75"/>
      <c r="B267" s="75"/>
      <c r="C267" s="35">
        <f>INDEX(Données!$F$2:$L$54,MATCH(F267,Données!$F$2:$F$54,0),2)</f>
        <v>44130</v>
      </c>
      <c r="D267" s="29" t="str">
        <f t="shared" si="8"/>
        <v>#5</v>
      </c>
      <c r="E267" s="7">
        <f>Données!H45</f>
        <v>44131</v>
      </c>
      <c r="F267" s="6" t="str">
        <f>INDEX(Données!$F$2:$L$54,MATCH('#5'!E267,Données!$G$2:$G$54,1),1)</f>
        <v>44</v>
      </c>
      <c r="G267" s="18" t="str">
        <f t="shared" si="9"/>
        <v/>
      </c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1"/>
      <c r="W267" s="75"/>
      <c r="X267" s="75"/>
      <c r="Y267" s="75"/>
      <c r="Z267" s="96">
        <f>SUM(Tableau16[[#This Row],[A-1]:[G-5]])</f>
        <v>0</v>
      </c>
      <c r="AA267" s="96" t="str">
        <f>IF(AND(Z267&gt;0,Tableau16[[#This Row],[CDS]]=""),"Oui","Non")</f>
        <v>Non</v>
      </c>
      <c r="AB267" s="75"/>
      <c r="AC267" s="75"/>
      <c r="AD267" s="75"/>
      <c r="AE267" s="75"/>
      <c r="AF267" s="75"/>
      <c r="AG267" s="75"/>
      <c r="AH267" s="75"/>
      <c r="AI267" s="75"/>
      <c r="AJ267" s="81"/>
      <c r="AK267" s="75"/>
      <c r="AL267" s="75"/>
    </row>
    <row r="268" spans="1:38" ht="15.75" hidden="1" thickBot="1" x14ac:dyDescent="0.3">
      <c r="A268" s="75"/>
      <c r="B268" s="75"/>
      <c r="C268" s="35">
        <f>INDEX(Données!$F$2:$L$54,MATCH(F268,Données!$F$2:$F$54,0),2)</f>
        <v>44130</v>
      </c>
      <c r="D268" s="29" t="str">
        <f t="shared" si="8"/>
        <v>#5</v>
      </c>
      <c r="E268" s="7">
        <f>Données!I45</f>
        <v>44132</v>
      </c>
      <c r="F268" s="6" t="str">
        <f>INDEX(Données!$F$2:$L$54,MATCH('#5'!E268,Données!$G$2:$G$54,1),1)</f>
        <v>44</v>
      </c>
      <c r="G268" s="18" t="str">
        <f t="shared" si="9"/>
        <v/>
      </c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1"/>
      <c r="W268" s="75"/>
      <c r="X268" s="75"/>
      <c r="Y268" s="75"/>
      <c r="Z268" s="96">
        <f>SUM(Tableau16[[#This Row],[A-1]:[G-5]])</f>
        <v>0</v>
      </c>
      <c r="AA268" s="96" t="str">
        <f>IF(AND(Z268&gt;0,Tableau16[[#This Row],[CDS]]=""),"Oui","Non")</f>
        <v>Non</v>
      </c>
      <c r="AB268" s="75"/>
      <c r="AC268" s="75"/>
      <c r="AD268" s="75"/>
      <c r="AE268" s="75"/>
      <c r="AF268" s="75"/>
      <c r="AG268" s="75"/>
      <c r="AH268" s="75"/>
      <c r="AI268" s="75"/>
      <c r="AJ268" s="81"/>
      <c r="AK268" s="75"/>
      <c r="AL268" s="75"/>
    </row>
    <row r="269" spans="1:38" ht="15.75" hidden="1" thickBot="1" x14ac:dyDescent="0.3">
      <c r="A269" s="75"/>
      <c r="B269" s="75"/>
      <c r="C269" s="35">
        <f>INDEX(Données!$F$2:$L$54,MATCH(F269,Données!$F$2:$F$54,0),2)</f>
        <v>44130</v>
      </c>
      <c r="D269" s="29" t="str">
        <f t="shared" si="8"/>
        <v>#5</v>
      </c>
      <c r="E269" s="7">
        <f>Données!J45</f>
        <v>44133</v>
      </c>
      <c r="F269" s="6" t="str">
        <f>INDEX(Données!$F$2:$L$54,MATCH('#5'!E269,Données!$G$2:$G$54,1),1)</f>
        <v>44</v>
      </c>
      <c r="G269" s="18" t="str">
        <f t="shared" si="9"/>
        <v/>
      </c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1"/>
      <c r="W269" s="75"/>
      <c r="X269" s="75"/>
      <c r="Y269" s="75"/>
      <c r="Z269" s="96">
        <f>SUM(Tableau16[[#This Row],[A-1]:[G-5]])</f>
        <v>0</v>
      </c>
      <c r="AA269" s="96" t="str">
        <f>IF(AND(Z269&gt;0,Tableau16[[#This Row],[CDS]]=""),"Oui","Non")</f>
        <v>Non</v>
      </c>
      <c r="AB269" s="75"/>
      <c r="AC269" s="75"/>
      <c r="AD269" s="75"/>
      <c r="AE269" s="75"/>
      <c r="AF269" s="75"/>
      <c r="AG269" s="75"/>
      <c r="AH269" s="75"/>
      <c r="AI269" s="75"/>
      <c r="AJ269" s="81"/>
      <c r="AK269" s="75"/>
      <c r="AL269" s="75"/>
    </row>
    <row r="270" spans="1:38" ht="15.75" hidden="1" thickBot="1" x14ac:dyDescent="0.3">
      <c r="A270" s="75"/>
      <c r="B270" s="75"/>
      <c r="C270" s="35">
        <f>INDEX(Données!$F$2:$L$54,MATCH(F270,Données!$F$2:$F$54,0),2)</f>
        <v>44130</v>
      </c>
      <c r="D270" s="29" t="str">
        <f t="shared" si="8"/>
        <v>#5</v>
      </c>
      <c r="E270" s="7">
        <f>Données!K45</f>
        <v>44134</v>
      </c>
      <c r="F270" s="6" t="str">
        <f>INDEX(Données!$F$2:$L$54,MATCH('#5'!E270,Données!$G$2:$G$54,1),1)</f>
        <v>44</v>
      </c>
      <c r="G270" s="18" t="str">
        <f t="shared" si="9"/>
        <v/>
      </c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1"/>
      <c r="W270" s="75"/>
      <c r="X270" s="75"/>
      <c r="Y270" s="75"/>
      <c r="Z270" s="96">
        <f>SUM(Tableau16[[#This Row],[A-1]:[G-5]])</f>
        <v>0</v>
      </c>
      <c r="AA270" s="96" t="str">
        <f>IF(AND(Z270&gt;0,Tableau16[[#This Row],[CDS]]=""),"Oui","Non")</f>
        <v>Non</v>
      </c>
      <c r="AB270" s="75"/>
      <c r="AC270" s="75"/>
      <c r="AD270" s="75"/>
      <c r="AE270" s="75"/>
      <c r="AF270" s="75"/>
      <c r="AG270" s="75"/>
      <c r="AH270" s="75"/>
      <c r="AI270" s="75"/>
      <c r="AJ270" s="81"/>
      <c r="AK270" s="75"/>
      <c r="AL270" s="75"/>
    </row>
    <row r="271" spans="1:38" ht="15.75" hidden="1" thickBot="1" x14ac:dyDescent="0.3">
      <c r="A271" s="75"/>
      <c r="B271" s="75"/>
      <c r="C271" s="35">
        <f>INDEX(Données!$F$2:$L$54,MATCH(F271,Données!$F$2:$F$54,0),2)</f>
        <v>44130</v>
      </c>
      <c r="D271" s="29" t="str">
        <f t="shared" si="8"/>
        <v>#5</v>
      </c>
      <c r="E271" s="7">
        <f>Données!L45</f>
        <v>44135</v>
      </c>
      <c r="F271" s="6" t="str">
        <f>INDEX(Données!$F$2:$L$54,MATCH('#5'!E271,Données!$G$2:$G$54,1),1)</f>
        <v>44</v>
      </c>
      <c r="G271" s="18" t="str">
        <f t="shared" si="9"/>
        <v/>
      </c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1"/>
      <c r="W271" s="75"/>
      <c r="X271" s="75"/>
      <c r="Y271" s="75"/>
      <c r="Z271" s="96">
        <f>SUM(Tableau16[[#This Row],[A-1]:[G-5]])</f>
        <v>0</v>
      </c>
      <c r="AA271" s="96" t="str">
        <f>IF(AND(Z271&gt;0,Tableau16[[#This Row],[CDS]]=""),"Oui","Non")</f>
        <v>Non</v>
      </c>
      <c r="AB271" s="75"/>
      <c r="AC271" s="75"/>
      <c r="AD271" s="75"/>
      <c r="AE271" s="75"/>
      <c r="AF271" s="75"/>
      <c r="AG271" s="75"/>
      <c r="AH271" s="75"/>
      <c r="AI271" s="75"/>
      <c r="AJ271" s="81"/>
      <c r="AK271" s="75"/>
      <c r="AL271" s="75"/>
    </row>
    <row r="272" spans="1:38" ht="15.75" hidden="1" thickBot="1" x14ac:dyDescent="0.3">
      <c r="A272" s="75"/>
      <c r="B272" s="75"/>
      <c r="C272" s="35">
        <f>INDEX(Données!$F$2:$L$54,MATCH(F272,Données!$F$2:$F$54,0),2)</f>
        <v>44137</v>
      </c>
      <c r="D272" s="29" t="str">
        <f t="shared" si="8"/>
        <v>#5</v>
      </c>
      <c r="E272" s="7">
        <f>Données!G46</f>
        <v>44137</v>
      </c>
      <c r="F272" s="6" t="str">
        <f>INDEX(Données!$F$2:$L$54,MATCH('#5'!E272,Données!$G$2:$G$54,1),1)</f>
        <v>45</v>
      </c>
      <c r="G272" s="18" t="str">
        <f t="shared" si="9"/>
        <v/>
      </c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1"/>
      <c r="W272" s="75"/>
      <c r="X272" s="75"/>
      <c r="Y272" s="75"/>
      <c r="Z272" s="96">
        <f>SUM(Tableau16[[#This Row],[A-1]:[G-5]])</f>
        <v>0</v>
      </c>
      <c r="AA272" s="96" t="str">
        <f>IF(AND(Z272&gt;0,Tableau16[[#This Row],[CDS]]=""),"Oui","Non")</f>
        <v>Non</v>
      </c>
      <c r="AB272" s="75"/>
      <c r="AC272" s="75"/>
      <c r="AD272" s="75"/>
      <c r="AE272" s="75"/>
      <c r="AF272" s="75"/>
      <c r="AG272" s="75"/>
      <c r="AH272" s="75"/>
      <c r="AI272" s="75"/>
      <c r="AJ272" s="81"/>
      <c r="AK272" s="75"/>
      <c r="AL272" s="75"/>
    </row>
    <row r="273" spans="1:38" ht="15.75" hidden="1" thickBot="1" x14ac:dyDescent="0.3">
      <c r="A273" s="75"/>
      <c r="B273" s="75"/>
      <c r="C273" s="35">
        <f>INDEX(Données!$F$2:$L$54,MATCH(F273,Données!$F$2:$F$54,0),2)</f>
        <v>44137</v>
      </c>
      <c r="D273" s="29" t="str">
        <f t="shared" si="8"/>
        <v>#5</v>
      </c>
      <c r="E273" s="7">
        <f>Données!H46</f>
        <v>44138</v>
      </c>
      <c r="F273" s="6" t="str">
        <f>INDEX(Données!$F$2:$L$54,MATCH('#5'!E273,Données!$G$2:$G$54,1),1)</f>
        <v>45</v>
      </c>
      <c r="G273" s="18" t="str">
        <f t="shared" si="9"/>
        <v/>
      </c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1"/>
      <c r="W273" s="75"/>
      <c r="X273" s="75"/>
      <c r="Y273" s="75"/>
      <c r="Z273" s="96">
        <f>SUM(Tableau16[[#This Row],[A-1]:[G-5]])</f>
        <v>0</v>
      </c>
      <c r="AA273" s="96" t="str">
        <f>IF(AND(Z273&gt;0,Tableau16[[#This Row],[CDS]]=""),"Oui","Non")</f>
        <v>Non</v>
      </c>
      <c r="AB273" s="75"/>
      <c r="AC273" s="75"/>
      <c r="AD273" s="75"/>
      <c r="AE273" s="75"/>
      <c r="AF273" s="75"/>
      <c r="AG273" s="75"/>
      <c r="AH273" s="75"/>
      <c r="AI273" s="75"/>
      <c r="AJ273" s="81"/>
      <c r="AK273" s="75"/>
      <c r="AL273" s="75"/>
    </row>
    <row r="274" spans="1:38" ht="15.75" hidden="1" thickBot="1" x14ac:dyDescent="0.3">
      <c r="A274" s="75"/>
      <c r="B274" s="75"/>
      <c r="C274" s="35">
        <f>INDEX(Données!$F$2:$L$54,MATCH(F274,Données!$F$2:$F$54,0),2)</f>
        <v>44137</v>
      </c>
      <c r="D274" s="29" t="str">
        <f t="shared" si="8"/>
        <v>#5</v>
      </c>
      <c r="E274" s="7">
        <f>Données!I46</f>
        <v>44139</v>
      </c>
      <c r="F274" s="6" t="str">
        <f>INDEX(Données!$F$2:$L$54,MATCH('#5'!E274,Données!$G$2:$G$54,1),1)</f>
        <v>45</v>
      </c>
      <c r="G274" s="18" t="str">
        <f t="shared" si="9"/>
        <v/>
      </c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1"/>
      <c r="W274" s="75"/>
      <c r="X274" s="75"/>
      <c r="Y274" s="75"/>
      <c r="Z274" s="96">
        <f>SUM(Tableau16[[#This Row],[A-1]:[G-5]])</f>
        <v>0</v>
      </c>
      <c r="AA274" s="96" t="str">
        <f>IF(AND(Z274&gt;0,Tableau16[[#This Row],[CDS]]=""),"Oui","Non")</f>
        <v>Non</v>
      </c>
      <c r="AB274" s="75"/>
      <c r="AC274" s="75"/>
      <c r="AD274" s="75"/>
      <c r="AE274" s="75"/>
      <c r="AF274" s="75"/>
      <c r="AG274" s="75"/>
      <c r="AH274" s="75"/>
      <c r="AI274" s="75"/>
      <c r="AJ274" s="81"/>
      <c r="AK274" s="75"/>
      <c r="AL274" s="75"/>
    </row>
    <row r="275" spans="1:38" ht="15.75" hidden="1" thickBot="1" x14ac:dyDescent="0.3">
      <c r="A275" s="75"/>
      <c r="B275" s="75"/>
      <c r="C275" s="35">
        <f>INDEX(Données!$F$2:$L$54,MATCH(F275,Données!$F$2:$F$54,0),2)</f>
        <v>44137</v>
      </c>
      <c r="D275" s="29" t="str">
        <f t="shared" si="8"/>
        <v>#5</v>
      </c>
      <c r="E275" s="7">
        <f>Données!J46</f>
        <v>44140</v>
      </c>
      <c r="F275" s="6" t="str">
        <f>INDEX(Données!$F$2:$L$54,MATCH('#5'!E275,Données!$G$2:$G$54,1),1)</f>
        <v>45</v>
      </c>
      <c r="G275" s="18" t="str">
        <f t="shared" si="9"/>
        <v/>
      </c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1"/>
      <c r="W275" s="75"/>
      <c r="X275" s="75"/>
      <c r="Y275" s="75"/>
      <c r="Z275" s="96">
        <f>SUM(Tableau16[[#This Row],[A-1]:[G-5]])</f>
        <v>0</v>
      </c>
      <c r="AA275" s="96" t="str">
        <f>IF(AND(Z275&gt;0,Tableau16[[#This Row],[CDS]]=""),"Oui","Non")</f>
        <v>Non</v>
      </c>
      <c r="AB275" s="75"/>
      <c r="AC275" s="75"/>
      <c r="AD275" s="75"/>
      <c r="AE275" s="75"/>
      <c r="AF275" s="75"/>
      <c r="AG275" s="75"/>
      <c r="AH275" s="75"/>
      <c r="AI275" s="75"/>
      <c r="AJ275" s="81"/>
      <c r="AK275" s="75"/>
      <c r="AL275" s="75"/>
    </row>
    <row r="276" spans="1:38" ht="15.75" hidden="1" thickBot="1" x14ac:dyDescent="0.3">
      <c r="A276" s="75"/>
      <c r="B276" s="75"/>
      <c r="C276" s="35">
        <f>INDEX(Données!$F$2:$L$54,MATCH(F276,Données!$F$2:$F$54,0),2)</f>
        <v>44137</v>
      </c>
      <c r="D276" s="29" t="str">
        <f t="shared" si="8"/>
        <v>#5</v>
      </c>
      <c r="E276" s="7">
        <f>Données!K46</f>
        <v>44141</v>
      </c>
      <c r="F276" s="6" t="str">
        <f>INDEX(Données!$F$2:$L$54,MATCH('#5'!E276,Données!$G$2:$G$54,1),1)</f>
        <v>45</v>
      </c>
      <c r="G276" s="18" t="str">
        <f t="shared" si="9"/>
        <v/>
      </c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1"/>
      <c r="W276" s="75"/>
      <c r="X276" s="75"/>
      <c r="Y276" s="75"/>
      <c r="Z276" s="96">
        <f>SUM(Tableau16[[#This Row],[A-1]:[G-5]])</f>
        <v>0</v>
      </c>
      <c r="AA276" s="96" t="str">
        <f>IF(AND(Z276&gt;0,Tableau16[[#This Row],[CDS]]=""),"Oui","Non")</f>
        <v>Non</v>
      </c>
      <c r="AB276" s="75"/>
      <c r="AC276" s="75"/>
      <c r="AD276" s="75"/>
      <c r="AE276" s="75"/>
      <c r="AF276" s="75"/>
      <c r="AG276" s="75"/>
      <c r="AH276" s="75"/>
      <c r="AI276" s="75"/>
      <c r="AJ276" s="81"/>
      <c r="AK276" s="75"/>
      <c r="AL276" s="75"/>
    </row>
    <row r="277" spans="1:38" ht="15.75" hidden="1" thickBot="1" x14ac:dyDescent="0.3">
      <c r="A277" s="75"/>
      <c r="B277" s="75"/>
      <c r="C277" s="35">
        <f>INDEX(Données!$F$2:$L$54,MATCH(F277,Données!$F$2:$F$54,0),2)</f>
        <v>44137</v>
      </c>
      <c r="D277" s="29" t="str">
        <f t="shared" si="8"/>
        <v>#5</v>
      </c>
      <c r="E277" s="7">
        <f>Données!L46</f>
        <v>44142</v>
      </c>
      <c r="F277" s="6" t="str">
        <f>INDEX(Données!$F$2:$L$54,MATCH('#5'!E277,Données!$G$2:$G$54,1),1)</f>
        <v>45</v>
      </c>
      <c r="G277" s="18" t="str">
        <f t="shared" si="9"/>
        <v/>
      </c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1"/>
      <c r="W277" s="75"/>
      <c r="X277" s="75"/>
      <c r="Y277" s="75"/>
      <c r="Z277" s="96">
        <f>SUM(Tableau16[[#This Row],[A-1]:[G-5]])</f>
        <v>0</v>
      </c>
      <c r="AA277" s="96" t="str">
        <f>IF(AND(Z277&gt;0,Tableau16[[#This Row],[CDS]]=""),"Oui","Non")</f>
        <v>Non</v>
      </c>
      <c r="AB277" s="75"/>
      <c r="AC277" s="75"/>
      <c r="AD277" s="75"/>
      <c r="AE277" s="75"/>
      <c r="AF277" s="75"/>
      <c r="AG277" s="75"/>
      <c r="AH277" s="75"/>
      <c r="AI277" s="75"/>
      <c r="AJ277" s="81"/>
      <c r="AK277" s="75"/>
      <c r="AL277" s="75"/>
    </row>
    <row r="278" spans="1:38" ht="15.75" hidden="1" thickBot="1" x14ac:dyDescent="0.3">
      <c r="A278" s="75"/>
      <c r="B278" s="75"/>
      <c r="C278" s="35">
        <f>INDEX(Données!$F$2:$L$54,MATCH(F278,Données!$F$2:$F$54,0),2)</f>
        <v>44144</v>
      </c>
      <c r="D278" s="29" t="str">
        <f t="shared" si="8"/>
        <v>#5</v>
      </c>
      <c r="E278" s="7">
        <f>Données!G47</f>
        <v>44144</v>
      </c>
      <c r="F278" s="6" t="str">
        <f>INDEX(Données!$F$2:$L$54,MATCH('#5'!E278,Données!$G$2:$G$54,1),1)</f>
        <v>46</v>
      </c>
      <c r="G278" s="18" t="str">
        <f t="shared" si="9"/>
        <v/>
      </c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1"/>
      <c r="W278" s="75"/>
      <c r="X278" s="75"/>
      <c r="Y278" s="75"/>
      <c r="Z278" s="96">
        <f>SUM(Tableau16[[#This Row],[A-1]:[G-5]])</f>
        <v>0</v>
      </c>
      <c r="AA278" s="96" t="str">
        <f>IF(AND(Z278&gt;0,Tableau16[[#This Row],[CDS]]=""),"Oui","Non")</f>
        <v>Non</v>
      </c>
      <c r="AB278" s="75"/>
      <c r="AC278" s="75"/>
      <c r="AD278" s="75"/>
      <c r="AE278" s="75"/>
      <c r="AF278" s="75"/>
      <c r="AG278" s="75"/>
      <c r="AH278" s="75"/>
      <c r="AI278" s="75"/>
      <c r="AJ278" s="81"/>
      <c r="AK278" s="75"/>
      <c r="AL278" s="75"/>
    </row>
    <row r="279" spans="1:38" ht="15.75" hidden="1" thickBot="1" x14ac:dyDescent="0.3">
      <c r="A279" s="75"/>
      <c r="B279" s="75"/>
      <c r="C279" s="35">
        <f>INDEX(Données!$F$2:$L$54,MATCH(F279,Données!$F$2:$F$54,0),2)</f>
        <v>44144</v>
      </c>
      <c r="D279" s="29" t="str">
        <f t="shared" si="8"/>
        <v>#5</v>
      </c>
      <c r="E279" s="7">
        <f>Données!H47</f>
        <v>44145</v>
      </c>
      <c r="F279" s="6" t="str">
        <f>INDEX(Données!$F$2:$L$54,MATCH('#5'!E279,Données!$G$2:$G$54,1),1)</f>
        <v>46</v>
      </c>
      <c r="G279" s="18" t="str">
        <f t="shared" si="9"/>
        <v/>
      </c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1"/>
      <c r="W279" s="75"/>
      <c r="X279" s="75"/>
      <c r="Y279" s="75"/>
      <c r="Z279" s="96">
        <f>SUM(Tableau16[[#This Row],[A-1]:[G-5]])</f>
        <v>0</v>
      </c>
      <c r="AA279" s="96" t="str">
        <f>IF(AND(Z279&gt;0,Tableau16[[#This Row],[CDS]]=""),"Oui","Non")</f>
        <v>Non</v>
      </c>
      <c r="AB279" s="75"/>
      <c r="AC279" s="75"/>
      <c r="AD279" s="75"/>
      <c r="AE279" s="75"/>
      <c r="AF279" s="75"/>
      <c r="AG279" s="75"/>
      <c r="AH279" s="75"/>
      <c r="AI279" s="75"/>
      <c r="AJ279" s="81"/>
      <c r="AK279" s="75"/>
      <c r="AL279" s="75"/>
    </row>
    <row r="280" spans="1:38" ht="15.75" hidden="1" thickBot="1" x14ac:dyDescent="0.3">
      <c r="A280" s="75"/>
      <c r="B280" s="75"/>
      <c r="C280" s="35">
        <f>INDEX(Données!$F$2:$L$54,MATCH(F280,Données!$F$2:$F$54,0),2)</f>
        <v>44144</v>
      </c>
      <c r="D280" s="29" t="str">
        <f t="shared" si="8"/>
        <v>#5</v>
      </c>
      <c r="E280" s="7">
        <f>Données!I47</f>
        <v>44146</v>
      </c>
      <c r="F280" s="6" t="str">
        <f>INDEX(Données!$F$2:$L$54,MATCH('#5'!E280,Données!$G$2:$G$54,1),1)</f>
        <v>46</v>
      </c>
      <c r="G280" s="18" t="str">
        <f t="shared" si="9"/>
        <v/>
      </c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1"/>
      <c r="W280" s="75"/>
      <c r="X280" s="75"/>
      <c r="Y280" s="75"/>
      <c r="Z280" s="96">
        <f>SUM(Tableau16[[#This Row],[A-1]:[G-5]])</f>
        <v>0</v>
      </c>
      <c r="AA280" s="96" t="str">
        <f>IF(AND(Z280&gt;0,Tableau16[[#This Row],[CDS]]=""),"Oui","Non")</f>
        <v>Non</v>
      </c>
      <c r="AB280" s="75"/>
      <c r="AC280" s="75"/>
      <c r="AD280" s="75"/>
      <c r="AE280" s="75"/>
      <c r="AF280" s="75"/>
      <c r="AG280" s="75"/>
      <c r="AH280" s="75"/>
      <c r="AI280" s="75"/>
      <c r="AJ280" s="81"/>
      <c r="AK280" s="75"/>
      <c r="AL280" s="75"/>
    </row>
    <row r="281" spans="1:38" ht="15.75" hidden="1" thickBot="1" x14ac:dyDescent="0.3">
      <c r="A281" s="75"/>
      <c r="B281" s="75"/>
      <c r="C281" s="35">
        <f>INDEX(Données!$F$2:$L$54,MATCH(F281,Données!$F$2:$F$54,0),2)</f>
        <v>44144</v>
      </c>
      <c r="D281" s="29" t="str">
        <f t="shared" si="8"/>
        <v>#5</v>
      </c>
      <c r="E281" s="7">
        <f>Données!J47</f>
        <v>44147</v>
      </c>
      <c r="F281" s="6" t="str">
        <f>INDEX(Données!$F$2:$L$54,MATCH('#5'!E281,Données!$G$2:$G$54,1),1)</f>
        <v>46</v>
      </c>
      <c r="G281" s="18" t="str">
        <f t="shared" si="9"/>
        <v/>
      </c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1"/>
      <c r="W281" s="75"/>
      <c r="X281" s="75"/>
      <c r="Y281" s="75"/>
      <c r="Z281" s="96">
        <f>SUM(Tableau16[[#This Row],[A-1]:[G-5]])</f>
        <v>0</v>
      </c>
      <c r="AA281" s="96" t="str">
        <f>IF(AND(Z281&gt;0,Tableau16[[#This Row],[CDS]]=""),"Oui","Non")</f>
        <v>Non</v>
      </c>
      <c r="AB281" s="75"/>
      <c r="AC281" s="75"/>
      <c r="AD281" s="75"/>
      <c r="AE281" s="75"/>
      <c r="AF281" s="75"/>
      <c r="AG281" s="75"/>
      <c r="AH281" s="75"/>
      <c r="AI281" s="75"/>
      <c r="AJ281" s="81"/>
      <c r="AK281" s="75"/>
      <c r="AL281" s="75"/>
    </row>
    <row r="282" spans="1:38" ht="15.75" hidden="1" thickBot="1" x14ac:dyDescent="0.3">
      <c r="A282" s="75"/>
      <c r="B282" s="75"/>
      <c r="C282" s="35">
        <f>INDEX(Données!$F$2:$L$54,MATCH(F282,Données!$F$2:$F$54,0),2)</f>
        <v>44144</v>
      </c>
      <c r="D282" s="29" t="str">
        <f t="shared" si="8"/>
        <v>#5</v>
      </c>
      <c r="E282" s="7">
        <f>Données!K47</f>
        <v>44148</v>
      </c>
      <c r="F282" s="6" t="str">
        <f>INDEX(Données!$F$2:$L$54,MATCH('#5'!E282,Données!$G$2:$G$54,1),1)</f>
        <v>46</v>
      </c>
      <c r="G282" s="18" t="str">
        <f t="shared" si="9"/>
        <v/>
      </c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1"/>
      <c r="W282" s="75"/>
      <c r="X282" s="75"/>
      <c r="Y282" s="75"/>
      <c r="Z282" s="96">
        <f>SUM(Tableau16[[#This Row],[A-1]:[G-5]])</f>
        <v>0</v>
      </c>
      <c r="AA282" s="96" t="str">
        <f>IF(AND(Z282&gt;0,Tableau16[[#This Row],[CDS]]=""),"Oui","Non")</f>
        <v>Non</v>
      </c>
      <c r="AB282" s="75"/>
      <c r="AC282" s="75"/>
      <c r="AD282" s="75"/>
      <c r="AE282" s="75"/>
      <c r="AF282" s="75"/>
      <c r="AG282" s="75"/>
      <c r="AH282" s="75"/>
      <c r="AI282" s="75"/>
      <c r="AJ282" s="81"/>
      <c r="AK282" s="75"/>
      <c r="AL282" s="75"/>
    </row>
    <row r="283" spans="1:38" ht="15.75" hidden="1" thickBot="1" x14ac:dyDescent="0.3">
      <c r="A283" s="75"/>
      <c r="B283" s="75"/>
      <c r="C283" s="35">
        <f>INDEX(Données!$F$2:$L$54,MATCH(F283,Données!$F$2:$F$54,0),2)</f>
        <v>44144</v>
      </c>
      <c r="D283" s="29" t="str">
        <f t="shared" si="8"/>
        <v>#5</v>
      </c>
      <c r="E283" s="7">
        <f>Données!L47</f>
        <v>44149</v>
      </c>
      <c r="F283" s="6" t="str">
        <f>INDEX(Données!$F$2:$L$54,MATCH('#5'!E283,Données!$G$2:$G$54,1),1)</f>
        <v>46</v>
      </c>
      <c r="G283" s="18" t="str">
        <f t="shared" si="9"/>
        <v/>
      </c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1"/>
      <c r="W283" s="75"/>
      <c r="X283" s="75"/>
      <c r="Y283" s="75"/>
      <c r="Z283" s="96">
        <f>SUM(Tableau16[[#This Row],[A-1]:[G-5]])</f>
        <v>0</v>
      </c>
      <c r="AA283" s="96" t="str">
        <f>IF(AND(Z283&gt;0,Tableau16[[#This Row],[CDS]]=""),"Oui","Non")</f>
        <v>Non</v>
      </c>
      <c r="AB283" s="75"/>
      <c r="AC283" s="75"/>
      <c r="AD283" s="75"/>
      <c r="AE283" s="75"/>
      <c r="AF283" s="75"/>
      <c r="AG283" s="75"/>
      <c r="AH283" s="75"/>
      <c r="AI283" s="75"/>
      <c r="AJ283" s="81"/>
      <c r="AK283" s="75"/>
      <c r="AL283" s="75"/>
    </row>
    <row r="284" spans="1:38" ht="15.75" hidden="1" thickBot="1" x14ac:dyDescent="0.3">
      <c r="A284" s="75"/>
      <c r="B284" s="75"/>
      <c r="C284" s="35">
        <f>INDEX(Données!$F$2:$L$54,MATCH(F284,Données!$F$2:$F$54,0),2)</f>
        <v>44151</v>
      </c>
      <c r="D284" s="29" t="str">
        <f t="shared" si="8"/>
        <v>#5</v>
      </c>
      <c r="E284" s="7">
        <f>Données!G48</f>
        <v>44151</v>
      </c>
      <c r="F284" s="6" t="str">
        <f>INDEX(Données!$F$2:$L$54,MATCH('#5'!E284,Données!$G$2:$G$54,1),1)</f>
        <v>47</v>
      </c>
      <c r="G284" s="18" t="str">
        <f t="shared" si="9"/>
        <v/>
      </c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1"/>
      <c r="W284" s="75"/>
      <c r="X284" s="75"/>
      <c r="Y284" s="75"/>
      <c r="Z284" s="96">
        <f>SUM(Tableau16[[#This Row],[A-1]:[G-5]])</f>
        <v>0</v>
      </c>
      <c r="AA284" s="96" t="str">
        <f>IF(AND(Z284&gt;0,Tableau16[[#This Row],[CDS]]=""),"Oui","Non")</f>
        <v>Non</v>
      </c>
      <c r="AB284" s="75"/>
      <c r="AC284" s="75"/>
      <c r="AD284" s="75"/>
      <c r="AE284" s="75"/>
      <c r="AF284" s="75"/>
      <c r="AG284" s="75"/>
      <c r="AH284" s="75"/>
      <c r="AI284" s="75"/>
      <c r="AJ284" s="81"/>
      <c r="AK284" s="75"/>
      <c r="AL284" s="75"/>
    </row>
    <row r="285" spans="1:38" ht="15.75" hidden="1" thickBot="1" x14ac:dyDescent="0.3">
      <c r="A285" s="75"/>
      <c r="B285" s="75"/>
      <c r="C285" s="35">
        <f>INDEX(Données!$F$2:$L$54,MATCH(F285,Données!$F$2:$F$54,0),2)</f>
        <v>44151</v>
      </c>
      <c r="D285" s="29" t="str">
        <f t="shared" si="8"/>
        <v>#5</v>
      </c>
      <c r="E285" s="7">
        <f>Données!H48</f>
        <v>44152</v>
      </c>
      <c r="F285" s="6" t="str">
        <f>INDEX(Données!$F$2:$L$54,MATCH('#5'!E285,Données!$G$2:$G$54,1),1)</f>
        <v>47</v>
      </c>
      <c r="G285" s="18" t="str">
        <f t="shared" si="9"/>
        <v/>
      </c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1"/>
      <c r="W285" s="75"/>
      <c r="X285" s="75"/>
      <c r="Y285" s="75"/>
      <c r="Z285" s="96">
        <f>SUM(Tableau16[[#This Row],[A-1]:[G-5]])</f>
        <v>0</v>
      </c>
      <c r="AA285" s="96" t="str">
        <f>IF(AND(Z285&gt;0,Tableau16[[#This Row],[CDS]]=""),"Oui","Non")</f>
        <v>Non</v>
      </c>
      <c r="AB285" s="75"/>
      <c r="AC285" s="75"/>
      <c r="AD285" s="75"/>
      <c r="AE285" s="75"/>
      <c r="AF285" s="75"/>
      <c r="AG285" s="75"/>
      <c r="AH285" s="75"/>
      <c r="AI285" s="75"/>
      <c r="AJ285" s="81"/>
      <c r="AK285" s="75"/>
      <c r="AL285" s="75"/>
    </row>
    <row r="286" spans="1:38" ht="15.75" hidden="1" thickBot="1" x14ac:dyDescent="0.3">
      <c r="A286" s="75"/>
      <c r="B286" s="75"/>
      <c r="C286" s="35">
        <f>INDEX(Données!$F$2:$L$54,MATCH(F286,Données!$F$2:$F$54,0),2)</f>
        <v>44151</v>
      </c>
      <c r="D286" s="29" t="str">
        <f t="shared" si="8"/>
        <v>#5</v>
      </c>
      <c r="E286" s="7">
        <f>Données!I48</f>
        <v>44153</v>
      </c>
      <c r="F286" s="6" t="str">
        <f>INDEX(Données!$F$2:$L$54,MATCH('#5'!E286,Données!$G$2:$G$54,1),1)</f>
        <v>47</v>
      </c>
      <c r="G286" s="18" t="str">
        <f t="shared" si="9"/>
        <v/>
      </c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1"/>
      <c r="W286" s="75"/>
      <c r="X286" s="75"/>
      <c r="Y286" s="75"/>
      <c r="Z286" s="96">
        <f>SUM(Tableau16[[#This Row],[A-1]:[G-5]])</f>
        <v>0</v>
      </c>
      <c r="AA286" s="96" t="str">
        <f>IF(AND(Z286&gt;0,Tableau16[[#This Row],[CDS]]=""),"Oui","Non")</f>
        <v>Non</v>
      </c>
      <c r="AB286" s="75"/>
      <c r="AC286" s="75"/>
      <c r="AD286" s="75"/>
      <c r="AE286" s="75"/>
      <c r="AF286" s="75"/>
      <c r="AG286" s="75"/>
      <c r="AH286" s="75"/>
      <c r="AI286" s="75"/>
      <c r="AJ286" s="81"/>
      <c r="AK286" s="75"/>
      <c r="AL286" s="75"/>
    </row>
    <row r="287" spans="1:38" ht="15.75" hidden="1" thickBot="1" x14ac:dyDescent="0.3">
      <c r="A287" s="75"/>
      <c r="B287" s="75"/>
      <c r="C287" s="35">
        <f>INDEX(Données!$F$2:$L$54,MATCH(F287,Données!$F$2:$F$54,0),2)</f>
        <v>44151</v>
      </c>
      <c r="D287" s="29" t="str">
        <f t="shared" si="8"/>
        <v>#5</v>
      </c>
      <c r="E287" s="7">
        <f>Données!J48</f>
        <v>44154</v>
      </c>
      <c r="F287" s="6" t="str">
        <f>INDEX(Données!$F$2:$L$54,MATCH('#5'!E287,Données!$G$2:$G$54,1),1)</f>
        <v>47</v>
      </c>
      <c r="G287" s="18" t="str">
        <f t="shared" si="9"/>
        <v/>
      </c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1"/>
      <c r="W287" s="75"/>
      <c r="X287" s="75"/>
      <c r="Y287" s="75"/>
      <c r="Z287" s="96">
        <f>SUM(Tableau16[[#This Row],[A-1]:[G-5]])</f>
        <v>0</v>
      </c>
      <c r="AA287" s="96" t="str">
        <f>IF(AND(Z287&gt;0,Tableau16[[#This Row],[CDS]]=""),"Oui","Non")</f>
        <v>Non</v>
      </c>
      <c r="AB287" s="75"/>
      <c r="AC287" s="75"/>
      <c r="AD287" s="75"/>
      <c r="AE287" s="75"/>
      <c r="AF287" s="75"/>
      <c r="AG287" s="75"/>
      <c r="AH287" s="75"/>
      <c r="AI287" s="75"/>
      <c r="AJ287" s="81"/>
      <c r="AK287" s="75"/>
      <c r="AL287" s="75"/>
    </row>
    <row r="288" spans="1:38" ht="15.75" hidden="1" thickBot="1" x14ac:dyDescent="0.3">
      <c r="A288" s="75"/>
      <c r="B288" s="75"/>
      <c r="C288" s="35">
        <f>INDEX(Données!$F$2:$L$54,MATCH(F288,Données!$F$2:$F$54,0),2)</f>
        <v>44151</v>
      </c>
      <c r="D288" s="29" t="str">
        <f t="shared" si="8"/>
        <v>#5</v>
      </c>
      <c r="E288" s="7">
        <f>Données!K48</f>
        <v>44155</v>
      </c>
      <c r="F288" s="6" t="str">
        <f>INDEX(Données!$F$2:$L$54,MATCH('#5'!E288,Données!$G$2:$G$54,1),1)</f>
        <v>47</v>
      </c>
      <c r="G288" s="18" t="str">
        <f t="shared" si="9"/>
        <v/>
      </c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1"/>
      <c r="W288" s="75"/>
      <c r="X288" s="75"/>
      <c r="Y288" s="75"/>
      <c r="Z288" s="96">
        <f>SUM(Tableau16[[#This Row],[A-1]:[G-5]])</f>
        <v>0</v>
      </c>
      <c r="AA288" s="96" t="str">
        <f>IF(AND(Z288&gt;0,Tableau16[[#This Row],[CDS]]=""),"Oui","Non")</f>
        <v>Non</v>
      </c>
      <c r="AB288" s="75"/>
      <c r="AC288" s="75"/>
      <c r="AD288" s="75"/>
      <c r="AE288" s="75"/>
      <c r="AF288" s="75"/>
      <c r="AG288" s="75"/>
      <c r="AH288" s="75"/>
      <c r="AI288" s="75"/>
      <c r="AJ288" s="81"/>
      <c r="AK288" s="75"/>
      <c r="AL288" s="75"/>
    </row>
    <row r="289" spans="1:38" ht="15.75" hidden="1" thickBot="1" x14ac:dyDescent="0.3">
      <c r="A289" s="75"/>
      <c r="B289" s="75"/>
      <c r="C289" s="35">
        <f>INDEX(Données!$F$2:$L$54,MATCH(F289,Données!$F$2:$F$54,0),2)</f>
        <v>44151</v>
      </c>
      <c r="D289" s="29" t="str">
        <f t="shared" si="8"/>
        <v>#5</v>
      </c>
      <c r="E289" s="7">
        <f>Données!L48</f>
        <v>44156</v>
      </c>
      <c r="F289" s="6" t="str">
        <f>INDEX(Données!$F$2:$L$54,MATCH('#5'!E289,Données!$G$2:$G$54,1),1)</f>
        <v>47</v>
      </c>
      <c r="G289" s="18" t="str">
        <f t="shared" si="9"/>
        <v/>
      </c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1"/>
      <c r="W289" s="75"/>
      <c r="X289" s="75"/>
      <c r="Y289" s="75"/>
      <c r="Z289" s="96">
        <f>SUM(Tableau16[[#This Row],[A-1]:[G-5]])</f>
        <v>0</v>
      </c>
      <c r="AA289" s="96" t="str">
        <f>IF(AND(Z289&gt;0,Tableau16[[#This Row],[CDS]]=""),"Oui","Non")</f>
        <v>Non</v>
      </c>
      <c r="AB289" s="75"/>
      <c r="AC289" s="75"/>
      <c r="AD289" s="75"/>
      <c r="AE289" s="75"/>
      <c r="AF289" s="75"/>
      <c r="AG289" s="75"/>
      <c r="AH289" s="75"/>
      <c r="AI289" s="75"/>
      <c r="AJ289" s="81"/>
      <c r="AK289" s="75"/>
      <c r="AL289" s="75"/>
    </row>
    <row r="290" spans="1:38" ht="15.75" hidden="1" thickBot="1" x14ac:dyDescent="0.3">
      <c r="A290" s="75"/>
      <c r="B290" s="75"/>
      <c r="C290" s="35">
        <f>INDEX(Données!$F$2:$L$54,MATCH(F290,Données!$F$2:$F$54,0),2)</f>
        <v>44158</v>
      </c>
      <c r="D290" s="29" t="str">
        <f t="shared" si="8"/>
        <v>#5</v>
      </c>
      <c r="E290" s="7">
        <f>Données!G49</f>
        <v>44158</v>
      </c>
      <c r="F290" s="6" t="str">
        <f>INDEX(Données!$F$2:$L$54,MATCH('#5'!E290,Données!$G$2:$G$54,1),1)</f>
        <v>48</v>
      </c>
      <c r="G290" s="18" t="str">
        <f t="shared" si="9"/>
        <v/>
      </c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1"/>
      <c r="W290" s="75"/>
      <c r="X290" s="75"/>
      <c r="Y290" s="75"/>
      <c r="Z290" s="96">
        <f>SUM(Tableau16[[#This Row],[A-1]:[G-5]])</f>
        <v>0</v>
      </c>
      <c r="AA290" s="96" t="str">
        <f>IF(AND(Z290&gt;0,Tableau16[[#This Row],[CDS]]=""),"Oui","Non")</f>
        <v>Non</v>
      </c>
      <c r="AB290" s="75"/>
      <c r="AC290" s="75"/>
      <c r="AD290" s="75"/>
      <c r="AE290" s="75"/>
      <c r="AF290" s="75"/>
      <c r="AG290" s="75"/>
      <c r="AH290" s="75"/>
      <c r="AI290" s="75"/>
      <c r="AJ290" s="81"/>
      <c r="AK290" s="75"/>
      <c r="AL290" s="75"/>
    </row>
    <row r="291" spans="1:38" ht="15.75" hidden="1" thickBot="1" x14ac:dyDescent="0.3">
      <c r="A291" s="75"/>
      <c r="B291" s="75"/>
      <c r="C291" s="35">
        <f>INDEX(Données!$F$2:$L$54,MATCH(F291,Données!$F$2:$F$54,0),2)</f>
        <v>44158</v>
      </c>
      <c r="D291" s="29" t="str">
        <f t="shared" si="8"/>
        <v>#5</v>
      </c>
      <c r="E291" s="7">
        <f>Données!H49</f>
        <v>44159</v>
      </c>
      <c r="F291" s="6" t="str">
        <f>INDEX(Données!$F$2:$L$54,MATCH('#5'!E291,Données!$G$2:$G$54,1),1)</f>
        <v>48</v>
      </c>
      <c r="G291" s="18" t="str">
        <f t="shared" si="9"/>
        <v/>
      </c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1"/>
      <c r="W291" s="75"/>
      <c r="X291" s="75"/>
      <c r="Y291" s="75"/>
      <c r="Z291" s="96">
        <f>SUM(Tableau16[[#This Row],[A-1]:[G-5]])</f>
        <v>0</v>
      </c>
      <c r="AA291" s="96" t="str">
        <f>IF(AND(Z291&gt;0,Tableau16[[#This Row],[CDS]]=""),"Oui","Non")</f>
        <v>Non</v>
      </c>
      <c r="AB291" s="75"/>
      <c r="AC291" s="75"/>
      <c r="AD291" s="75"/>
      <c r="AE291" s="75"/>
      <c r="AF291" s="75"/>
      <c r="AG291" s="75"/>
      <c r="AH291" s="75"/>
      <c r="AI291" s="75"/>
      <c r="AJ291" s="81"/>
      <c r="AK291" s="75"/>
      <c r="AL291" s="75"/>
    </row>
    <row r="292" spans="1:38" ht="15.75" hidden="1" thickBot="1" x14ac:dyDescent="0.3">
      <c r="A292" s="75"/>
      <c r="B292" s="75"/>
      <c r="C292" s="35">
        <f>INDEX(Données!$F$2:$L$54,MATCH(F292,Données!$F$2:$F$54,0),2)</f>
        <v>44158</v>
      </c>
      <c r="D292" s="29" t="str">
        <f t="shared" si="8"/>
        <v>#5</v>
      </c>
      <c r="E292" s="7">
        <f>Données!I49</f>
        <v>44160</v>
      </c>
      <c r="F292" s="6" t="str">
        <f>INDEX(Données!$F$2:$L$54,MATCH('#5'!E292,Données!$G$2:$G$54,1),1)</f>
        <v>48</v>
      </c>
      <c r="G292" s="18" t="str">
        <f t="shared" si="9"/>
        <v/>
      </c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1"/>
      <c r="W292" s="75"/>
      <c r="X292" s="75"/>
      <c r="Y292" s="75"/>
      <c r="Z292" s="96">
        <f>SUM(Tableau16[[#This Row],[A-1]:[G-5]])</f>
        <v>0</v>
      </c>
      <c r="AA292" s="96" t="str">
        <f>IF(AND(Z292&gt;0,Tableau16[[#This Row],[CDS]]=""),"Oui","Non")</f>
        <v>Non</v>
      </c>
      <c r="AB292" s="75"/>
      <c r="AC292" s="75"/>
      <c r="AD292" s="75"/>
      <c r="AE292" s="75"/>
      <c r="AF292" s="75"/>
      <c r="AG292" s="75"/>
      <c r="AH292" s="75"/>
      <c r="AI292" s="75"/>
      <c r="AJ292" s="81"/>
      <c r="AK292" s="75"/>
      <c r="AL292" s="75"/>
    </row>
    <row r="293" spans="1:38" ht="15.75" hidden="1" thickBot="1" x14ac:dyDescent="0.3">
      <c r="A293" s="75"/>
      <c r="B293" s="75"/>
      <c r="C293" s="35">
        <f>INDEX(Données!$F$2:$L$54,MATCH(F293,Données!$F$2:$F$54,0),2)</f>
        <v>44158</v>
      </c>
      <c r="D293" s="29" t="str">
        <f t="shared" si="8"/>
        <v>#5</v>
      </c>
      <c r="E293" s="7">
        <f>Données!J49</f>
        <v>44161</v>
      </c>
      <c r="F293" s="6" t="str">
        <f>INDEX(Données!$F$2:$L$54,MATCH('#5'!E293,Données!$G$2:$G$54,1),1)</f>
        <v>48</v>
      </c>
      <c r="G293" s="18" t="str">
        <f t="shared" si="9"/>
        <v/>
      </c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1"/>
      <c r="W293" s="75"/>
      <c r="X293" s="75"/>
      <c r="Y293" s="75"/>
      <c r="Z293" s="96">
        <f>SUM(Tableau16[[#This Row],[A-1]:[G-5]])</f>
        <v>0</v>
      </c>
      <c r="AA293" s="96" t="str">
        <f>IF(AND(Z293&gt;0,Tableau16[[#This Row],[CDS]]=""),"Oui","Non")</f>
        <v>Non</v>
      </c>
      <c r="AB293" s="75"/>
      <c r="AC293" s="75"/>
      <c r="AD293" s="75"/>
      <c r="AE293" s="75"/>
      <c r="AF293" s="75"/>
      <c r="AG293" s="75"/>
      <c r="AH293" s="75"/>
      <c r="AI293" s="75"/>
      <c r="AJ293" s="81"/>
      <c r="AK293" s="75"/>
      <c r="AL293" s="75"/>
    </row>
    <row r="294" spans="1:38" ht="15.75" hidden="1" thickBot="1" x14ac:dyDescent="0.3">
      <c r="A294" s="75"/>
      <c r="B294" s="75"/>
      <c r="C294" s="35">
        <f>INDEX(Données!$F$2:$L$54,MATCH(F294,Données!$F$2:$F$54,0),2)</f>
        <v>44158</v>
      </c>
      <c r="D294" s="29" t="str">
        <f t="shared" si="8"/>
        <v>#5</v>
      </c>
      <c r="E294" s="7">
        <f>Données!K49</f>
        <v>44162</v>
      </c>
      <c r="F294" s="6" t="str">
        <f>INDEX(Données!$F$2:$L$54,MATCH('#5'!E294,Données!$G$2:$G$54,1),1)</f>
        <v>48</v>
      </c>
      <c r="G294" s="18" t="str">
        <f t="shared" si="9"/>
        <v/>
      </c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1"/>
      <c r="W294" s="75"/>
      <c r="X294" s="75"/>
      <c r="Y294" s="75"/>
      <c r="Z294" s="96">
        <f>SUM(Tableau16[[#This Row],[A-1]:[G-5]])</f>
        <v>0</v>
      </c>
      <c r="AA294" s="96" t="str">
        <f>IF(AND(Z294&gt;0,Tableau16[[#This Row],[CDS]]=""),"Oui","Non")</f>
        <v>Non</v>
      </c>
      <c r="AB294" s="75"/>
      <c r="AC294" s="75"/>
      <c r="AD294" s="75"/>
      <c r="AE294" s="75"/>
      <c r="AF294" s="75"/>
      <c r="AG294" s="75"/>
      <c r="AH294" s="75"/>
      <c r="AI294" s="75"/>
      <c r="AJ294" s="81"/>
      <c r="AK294" s="75"/>
      <c r="AL294" s="75"/>
    </row>
    <row r="295" spans="1:38" ht="15.75" hidden="1" thickBot="1" x14ac:dyDescent="0.3">
      <c r="A295" s="75"/>
      <c r="B295" s="75"/>
      <c r="C295" s="35">
        <f>INDEX(Données!$F$2:$L$54,MATCH(F295,Données!$F$2:$F$54,0),2)</f>
        <v>44158</v>
      </c>
      <c r="D295" s="29" t="str">
        <f t="shared" si="8"/>
        <v>#5</v>
      </c>
      <c r="E295" s="7">
        <f>Données!L49</f>
        <v>44163</v>
      </c>
      <c r="F295" s="6" t="str">
        <f>INDEX(Données!$F$2:$L$54,MATCH('#5'!E295,Données!$G$2:$G$54,1),1)</f>
        <v>48</v>
      </c>
      <c r="G295" s="18" t="str">
        <f t="shared" si="9"/>
        <v/>
      </c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1"/>
      <c r="W295" s="75"/>
      <c r="X295" s="75"/>
      <c r="Y295" s="75"/>
      <c r="Z295" s="96">
        <f>SUM(Tableau16[[#This Row],[A-1]:[G-5]])</f>
        <v>0</v>
      </c>
      <c r="AA295" s="96" t="str">
        <f>IF(AND(Z295&gt;0,Tableau16[[#This Row],[CDS]]=""),"Oui","Non")</f>
        <v>Non</v>
      </c>
      <c r="AB295" s="75"/>
      <c r="AC295" s="75"/>
      <c r="AD295" s="75"/>
      <c r="AE295" s="75"/>
      <c r="AF295" s="75"/>
      <c r="AG295" s="75"/>
      <c r="AH295" s="75"/>
      <c r="AI295" s="75"/>
      <c r="AJ295" s="81"/>
      <c r="AK295" s="75"/>
      <c r="AL295" s="75"/>
    </row>
    <row r="296" spans="1:38" ht="15.75" hidden="1" thickBot="1" x14ac:dyDescent="0.3">
      <c r="A296" s="75"/>
      <c r="B296" s="75"/>
      <c r="C296" s="35">
        <f>INDEX(Données!$F$2:$L$54,MATCH(F296,Données!$F$2:$F$54,0),2)</f>
        <v>44165</v>
      </c>
      <c r="D296" s="29" t="str">
        <f t="shared" si="8"/>
        <v>#5</v>
      </c>
      <c r="E296" s="7">
        <f>Données!G50</f>
        <v>44165</v>
      </c>
      <c r="F296" s="6" t="str">
        <f>INDEX(Données!$F$2:$L$54,MATCH('#5'!E296,Données!$G$2:$G$54,1),1)</f>
        <v>49</v>
      </c>
      <c r="G296" s="18" t="str">
        <f t="shared" si="9"/>
        <v/>
      </c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1"/>
      <c r="W296" s="75"/>
      <c r="X296" s="75"/>
      <c r="Y296" s="75"/>
      <c r="Z296" s="96">
        <f>SUM(Tableau16[[#This Row],[A-1]:[G-5]])</f>
        <v>0</v>
      </c>
      <c r="AA296" s="96" t="str">
        <f>IF(AND(Z296&gt;0,Tableau16[[#This Row],[CDS]]=""),"Oui","Non")</f>
        <v>Non</v>
      </c>
      <c r="AB296" s="75"/>
      <c r="AC296" s="75"/>
      <c r="AD296" s="75"/>
      <c r="AE296" s="75"/>
      <c r="AF296" s="75"/>
      <c r="AG296" s="75"/>
      <c r="AH296" s="75"/>
      <c r="AI296" s="75"/>
      <c r="AJ296" s="81"/>
      <c r="AK296" s="75"/>
      <c r="AL296" s="75"/>
    </row>
    <row r="297" spans="1:38" ht="15.75" hidden="1" thickBot="1" x14ac:dyDescent="0.3">
      <c r="A297" s="75"/>
      <c r="B297" s="75"/>
      <c r="C297" s="35">
        <f>INDEX(Données!$F$2:$L$54,MATCH(F297,Données!$F$2:$F$54,0),2)</f>
        <v>44165</v>
      </c>
      <c r="D297" s="29" t="str">
        <f t="shared" si="8"/>
        <v>#5</v>
      </c>
      <c r="E297" s="7">
        <f>Données!H50</f>
        <v>44166</v>
      </c>
      <c r="F297" s="6" t="str">
        <f>INDEX(Données!$F$2:$L$54,MATCH('#5'!E297,Données!$G$2:$G$54,1),1)</f>
        <v>49</v>
      </c>
      <c r="G297" s="18" t="str">
        <f t="shared" si="9"/>
        <v/>
      </c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1"/>
      <c r="W297" s="75"/>
      <c r="X297" s="75"/>
      <c r="Y297" s="75"/>
      <c r="Z297" s="96">
        <f>SUM(Tableau16[[#This Row],[A-1]:[G-5]])</f>
        <v>0</v>
      </c>
      <c r="AA297" s="96" t="str">
        <f>IF(AND(Z297&gt;0,Tableau16[[#This Row],[CDS]]=""),"Oui","Non")</f>
        <v>Non</v>
      </c>
      <c r="AB297" s="75"/>
      <c r="AC297" s="75"/>
      <c r="AD297" s="75"/>
      <c r="AE297" s="75"/>
      <c r="AF297" s="75"/>
      <c r="AG297" s="75"/>
      <c r="AH297" s="75"/>
      <c r="AI297" s="75"/>
      <c r="AJ297" s="81"/>
      <c r="AK297" s="75"/>
      <c r="AL297" s="75"/>
    </row>
    <row r="298" spans="1:38" ht="15.75" hidden="1" thickBot="1" x14ac:dyDescent="0.3">
      <c r="A298" s="75"/>
      <c r="B298" s="75"/>
      <c r="C298" s="35">
        <f>INDEX(Données!$F$2:$L$54,MATCH(F298,Données!$F$2:$F$54,0),2)</f>
        <v>44165</v>
      </c>
      <c r="D298" s="29" t="str">
        <f t="shared" si="8"/>
        <v>#5</v>
      </c>
      <c r="E298" s="7">
        <f>Données!I50</f>
        <v>44167</v>
      </c>
      <c r="F298" s="6" t="str">
        <f>INDEX(Données!$F$2:$L$54,MATCH('#5'!E298,Données!$G$2:$G$54,1),1)</f>
        <v>49</v>
      </c>
      <c r="G298" s="18" t="str">
        <f t="shared" si="9"/>
        <v/>
      </c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1"/>
      <c r="W298" s="75"/>
      <c r="X298" s="75"/>
      <c r="Y298" s="75"/>
      <c r="Z298" s="96">
        <f>SUM(Tableau16[[#This Row],[A-1]:[G-5]])</f>
        <v>0</v>
      </c>
      <c r="AA298" s="96" t="str">
        <f>IF(AND(Z298&gt;0,Tableau16[[#This Row],[CDS]]=""),"Oui","Non")</f>
        <v>Non</v>
      </c>
      <c r="AB298" s="75"/>
      <c r="AC298" s="75"/>
      <c r="AD298" s="75"/>
      <c r="AE298" s="75"/>
      <c r="AF298" s="75"/>
      <c r="AG298" s="75"/>
      <c r="AH298" s="75"/>
      <c r="AI298" s="75"/>
      <c r="AJ298" s="81"/>
      <c r="AK298" s="75"/>
      <c r="AL298" s="75"/>
    </row>
    <row r="299" spans="1:38" ht="15.75" hidden="1" thickBot="1" x14ac:dyDescent="0.3">
      <c r="A299" s="75"/>
      <c r="B299" s="75"/>
      <c r="C299" s="35">
        <f>INDEX(Données!$F$2:$L$54,MATCH(F299,Données!$F$2:$F$54,0),2)</f>
        <v>44165</v>
      </c>
      <c r="D299" s="29" t="str">
        <f t="shared" si="8"/>
        <v>#5</v>
      </c>
      <c r="E299" s="7">
        <f>Données!J50</f>
        <v>44168</v>
      </c>
      <c r="F299" s="6" t="str">
        <f>INDEX(Données!$F$2:$L$54,MATCH('#5'!E299,Données!$G$2:$G$54,1),1)</f>
        <v>49</v>
      </c>
      <c r="G299" s="18" t="str">
        <f t="shared" si="9"/>
        <v/>
      </c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1"/>
      <c r="W299" s="75"/>
      <c r="X299" s="75"/>
      <c r="Y299" s="75"/>
      <c r="Z299" s="96">
        <f>SUM(Tableau16[[#This Row],[A-1]:[G-5]])</f>
        <v>0</v>
      </c>
      <c r="AA299" s="96" t="str">
        <f>IF(AND(Z299&gt;0,Tableau16[[#This Row],[CDS]]=""),"Oui","Non")</f>
        <v>Non</v>
      </c>
      <c r="AB299" s="75"/>
      <c r="AC299" s="75"/>
      <c r="AD299" s="75"/>
      <c r="AE299" s="75"/>
      <c r="AF299" s="75"/>
      <c r="AG299" s="75"/>
      <c r="AH299" s="75"/>
      <c r="AI299" s="75"/>
      <c r="AJ299" s="81"/>
      <c r="AK299" s="75"/>
      <c r="AL299" s="75"/>
    </row>
    <row r="300" spans="1:38" ht="15.75" hidden="1" thickBot="1" x14ac:dyDescent="0.3">
      <c r="A300" s="75"/>
      <c r="B300" s="75"/>
      <c r="C300" s="35">
        <f>INDEX(Données!$F$2:$L$54,MATCH(F300,Données!$F$2:$F$54,0),2)</f>
        <v>44165</v>
      </c>
      <c r="D300" s="29" t="str">
        <f t="shared" si="8"/>
        <v>#5</v>
      </c>
      <c r="E300" s="7">
        <f>Données!K50</f>
        <v>44169</v>
      </c>
      <c r="F300" s="6" t="str">
        <f>INDEX(Données!$F$2:$L$54,MATCH('#5'!E300,Données!$G$2:$G$54,1),1)</f>
        <v>49</v>
      </c>
      <c r="G300" s="18" t="str">
        <f t="shared" si="9"/>
        <v/>
      </c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1"/>
      <c r="W300" s="75"/>
      <c r="X300" s="75"/>
      <c r="Y300" s="75"/>
      <c r="Z300" s="96">
        <f>SUM(Tableau16[[#This Row],[A-1]:[G-5]])</f>
        <v>0</v>
      </c>
      <c r="AA300" s="96" t="str">
        <f>IF(AND(Z300&gt;0,Tableau16[[#This Row],[CDS]]=""),"Oui","Non")</f>
        <v>Non</v>
      </c>
      <c r="AB300" s="75"/>
      <c r="AC300" s="75"/>
      <c r="AD300" s="75"/>
      <c r="AE300" s="75"/>
      <c r="AF300" s="75"/>
      <c r="AG300" s="75"/>
      <c r="AH300" s="75"/>
      <c r="AI300" s="75"/>
      <c r="AJ300" s="81"/>
      <c r="AK300" s="75"/>
      <c r="AL300" s="75"/>
    </row>
    <row r="301" spans="1:38" ht="15.75" hidden="1" thickBot="1" x14ac:dyDescent="0.3">
      <c r="A301" s="75"/>
      <c r="B301" s="75"/>
      <c r="C301" s="35">
        <f>INDEX(Données!$F$2:$L$54,MATCH(F301,Données!$F$2:$F$54,0),2)</f>
        <v>44165</v>
      </c>
      <c r="D301" s="29" t="str">
        <f t="shared" si="8"/>
        <v>#5</v>
      </c>
      <c r="E301" s="7">
        <f>Données!L50</f>
        <v>44170</v>
      </c>
      <c r="F301" s="6" t="str">
        <f>INDEX(Données!$F$2:$L$54,MATCH('#5'!E301,Données!$G$2:$G$54,1),1)</f>
        <v>49</v>
      </c>
      <c r="G301" s="18" t="str">
        <f t="shared" si="9"/>
        <v/>
      </c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1"/>
      <c r="W301" s="75"/>
      <c r="X301" s="75"/>
      <c r="Y301" s="75"/>
      <c r="Z301" s="96">
        <f>SUM(Tableau16[[#This Row],[A-1]:[G-5]])</f>
        <v>0</v>
      </c>
      <c r="AA301" s="96" t="str">
        <f>IF(AND(Z301&gt;0,Tableau16[[#This Row],[CDS]]=""),"Oui","Non")</f>
        <v>Non</v>
      </c>
      <c r="AB301" s="75"/>
      <c r="AC301" s="75"/>
      <c r="AD301" s="75"/>
      <c r="AE301" s="75"/>
      <c r="AF301" s="75"/>
      <c r="AG301" s="75"/>
      <c r="AH301" s="75"/>
      <c r="AI301" s="75"/>
      <c r="AJ301" s="81"/>
      <c r="AK301" s="75"/>
      <c r="AL301" s="75"/>
    </row>
    <row r="302" spans="1:38" ht="15.75" hidden="1" thickBot="1" x14ac:dyDescent="0.3">
      <c r="A302" s="75"/>
      <c r="B302" s="75"/>
      <c r="C302" s="35">
        <f>INDEX(Données!$F$2:$L$54,MATCH(F302,Données!$F$2:$F$54,0),2)</f>
        <v>44172</v>
      </c>
      <c r="D302" s="29" t="str">
        <f t="shared" si="8"/>
        <v>#5</v>
      </c>
      <c r="E302" s="7">
        <f>Données!G51</f>
        <v>44172</v>
      </c>
      <c r="F302" s="6" t="str">
        <f>INDEX(Données!$F$2:$L$54,MATCH('#5'!E302,Données!$G$2:$G$54,1),1)</f>
        <v>50</v>
      </c>
      <c r="G302" s="18" t="str">
        <f t="shared" si="9"/>
        <v/>
      </c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1"/>
      <c r="W302" s="75"/>
      <c r="X302" s="75"/>
      <c r="Y302" s="75"/>
      <c r="Z302" s="96">
        <f>SUM(Tableau16[[#This Row],[A-1]:[G-5]])</f>
        <v>0</v>
      </c>
      <c r="AA302" s="96" t="str">
        <f>IF(AND(Z302&gt;0,Tableau16[[#This Row],[CDS]]=""),"Oui","Non")</f>
        <v>Non</v>
      </c>
      <c r="AB302" s="75"/>
      <c r="AC302" s="75"/>
      <c r="AD302" s="75"/>
      <c r="AE302" s="75"/>
      <c r="AF302" s="75"/>
      <c r="AG302" s="75"/>
      <c r="AH302" s="75"/>
      <c r="AI302" s="75"/>
      <c r="AJ302" s="81"/>
      <c r="AK302" s="75"/>
      <c r="AL302" s="75"/>
    </row>
    <row r="303" spans="1:38" ht="15.75" hidden="1" thickBot="1" x14ac:dyDescent="0.3">
      <c r="A303" s="75"/>
      <c r="B303" s="75"/>
      <c r="C303" s="35">
        <f>INDEX(Données!$F$2:$L$54,MATCH(F303,Données!$F$2:$F$54,0),2)</f>
        <v>44172</v>
      </c>
      <c r="D303" s="29" t="str">
        <f t="shared" si="8"/>
        <v>#5</v>
      </c>
      <c r="E303" s="7">
        <f>Données!H51</f>
        <v>44173</v>
      </c>
      <c r="F303" s="6" t="str">
        <f>INDEX(Données!$F$2:$L$54,MATCH('#5'!E303,Données!$G$2:$G$54,1),1)</f>
        <v>50</v>
      </c>
      <c r="G303" s="18" t="str">
        <f t="shared" si="9"/>
        <v/>
      </c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1"/>
      <c r="W303" s="75"/>
      <c r="X303" s="75"/>
      <c r="Y303" s="75"/>
      <c r="Z303" s="96">
        <f>SUM(Tableau16[[#This Row],[A-1]:[G-5]])</f>
        <v>0</v>
      </c>
      <c r="AA303" s="96" t="str">
        <f>IF(AND(Z303&gt;0,Tableau16[[#This Row],[CDS]]=""),"Oui","Non")</f>
        <v>Non</v>
      </c>
      <c r="AB303" s="75"/>
      <c r="AC303" s="75"/>
      <c r="AD303" s="75"/>
      <c r="AE303" s="75"/>
      <c r="AF303" s="75"/>
      <c r="AG303" s="75"/>
      <c r="AH303" s="75"/>
      <c r="AI303" s="75"/>
      <c r="AJ303" s="81"/>
      <c r="AK303" s="75"/>
      <c r="AL303" s="75"/>
    </row>
    <row r="304" spans="1:38" ht="15.75" hidden="1" thickBot="1" x14ac:dyDescent="0.3">
      <c r="A304" s="75"/>
      <c r="B304" s="75"/>
      <c r="C304" s="35">
        <f>INDEX(Données!$F$2:$L$54,MATCH(F304,Données!$F$2:$F$54,0),2)</f>
        <v>44172</v>
      </c>
      <c r="D304" s="29" t="str">
        <f t="shared" si="8"/>
        <v>#5</v>
      </c>
      <c r="E304" s="7">
        <f>Données!I51</f>
        <v>44174</v>
      </c>
      <c r="F304" s="6" t="str">
        <f>INDEX(Données!$F$2:$L$54,MATCH('#5'!E304,Données!$G$2:$G$54,1),1)</f>
        <v>50</v>
      </c>
      <c r="G304" s="18" t="str">
        <f t="shared" si="9"/>
        <v/>
      </c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1"/>
      <c r="W304" s="75"/>
      <c r="X304" s="75"/>
      <c r="Y304" s="75"/>
      <c r="Z304" s="96">
        <f>SUM(Tableau16[[#This Row],[A-1]:[G-5]])</f>
        <v>0</v>
      </c>
      <c r="AA304" s="96" t="str">
        <f>IF(AND(Z304&gt;0,Tableau16[[#This Row],[CDS]]=""),"Oui","Non")</f>
        <v>Non</v>
      </c>
      <c r="AB304" s="75"/>
      <c r="AC304" s="75"/>
      <c r="AD304" s="75"/>
      <c r="AE304" s="75"/>
      <c r="AF304" s="75"/>
      <c r="AG304" s="75"/>
      <c r="AH304" s="75"/>
      <c r="AI304" s="75"/>
      <c r="AJ304" s="81"/>
      <c r="AK304" s="75"/>
      <c r="AL304" s="75"/>
    </row>
    <row r="305" spans="1:38" ht="15.75" hidden="1" thickBot="1" x14ac:dyDescent="0.3">
      <c r="A305" s="75"/>
      <c r="B305" s="75"/>
      <c r="C305" s="35">
        <f>INDEX(Données!$F$2:$L$54,MATCH(F305,Données!$F$2:$F$54,0),2)</f>
        <v>44172</v>
      </c>
      <c r="D305" s="29" t="str">
        <f t="shared" si="8"/>
        <v>#5</v>
      </c>
      <c r="E305" s="7">
        <f>Données!J51</f>
        <v>44175</v>
      </c>
      <c r="F305" s="6" t="str">
        <f>INDEX(Données!$F$2:$L$54,MATCH('#5'!E305,Données!$G$2:$G$54,1),1)</f>
        <v>50</v>
      </c>
      <c r="G305" s="18" t="str">
        <f t="shared" si="9"/>
        <v/>
      </c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1"/>
      <c r="W305" s="75"/>
      <c r="X305" s="75"/>
      <c r="Y305" s="75"/>
      <c r="Z305" s="96">
        <f>SUM(Tableau16[[#This Row],[A-1]:[G-5]])</f>
        <v>0</v>
      </c>
      <c r="AA305" s="96" t="str">
        <f>IF(AND(Z305&gt;0,Tableau16[[#This Row],[CDS]]=""),"Oui","Non")</f>
        <v>Non</v>
      </c>
      <c r="AB305" s="75"/>
      <c r="AC305" s="75"/>
      <c r="AD305" s="75"/>
      <c r="AE305" s="75"/>
      <c r="AF305" s="75"/>
      <c r="AG305" s="75"/>
      <c r="AH305" s="75"/>
      <c r="AI305" s="75"/>
      <c r="AJ305" s="81"/>
      <c r="AK305" s="75"/>
      <c r="AL305" s="75"/>
    </row>
    <row r="306" spans="1:38" ht="15.75" hidden="1" thickBot="1" x14ac:dyDescent="0.3">
      <c r="A306" s="75"/>
      <c r="B306" s="75"/>
      <c r="C306" s="35">
        <f>INDEX(Données!$F$2:$L$54,MATCH(F306,Données!$F$2:$F$54,0),2)</f>
        <v>44172</v>
      </c>
      <c r="D306" s="29" t="str">
        <f t="shared" si="8"/>
        <v>#5</v>
      </c>
      <c r="E306" s="7">
        <f>Données!K51</f>
        <v>44176</v>
      </c>
      <c r="F306" s="6" t="str">
        <f>INDEX(Données!$F$2:$L$54,MATCH('#5'!E306,Données!$G$2:$G$54,1),1)</f>
        <v>50</v>
      </c>
      <c r="G306" s="18" t="str">
        <f t="shared" si="9"/>
        <v/>
      </c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1"/>
      <c r="W306" s="75"/>
      <c r="X306" s="75"/>
      <c r="Y306" s="75"/>
      <c r="Z306" s="96">
        <f>SUM(Tableau16[[#This Row],[A-1]:[G-5]])</f>
        <v>0</v>
      </c>
      <c r="AA306" s="96" t="str">
        <f>IF(AND(Z306&gt;0,Tableau16[[#This Row],[CDS]]=""),"Oui","Non")</f>
        <v>Non</v>
      </c>
      <c r="AB306" s="75"/>
      <c r="AC306" s="75"/>
      <c r="AD306" s="75"/>
      <c r="AE306" s="75"/>
      <c r="AF306" s="75"/>
      <c r="AG306" s="75"/>
      <c r="AH306" s="75"/>
      <c r="AI306" s="75"/>
      <c r="AJ306" s="81"/>
      <c r="AK306" s="75"/>
      <c r="AL306" s="75"/>
    </row>
    <row r="307" spans="1:38" ht="15.75" hidden="1" thickBot="1" x14ac:dyDescent="0.3">
      <c r="A307" s="75"/>
      <c r="B307" s="75"/>
      <c r="C307" s="35">
        <f>INDEX(Données!$F$2:$L$54,MATCH(F307,Données!$F$2:$F$54,0),2)</f>
        <v>44172</v>
      </c>
      <c r="D307" s="29" t="str">
        <f t="shared" si="8"/>
        <v>#5</v>
      </c>
      <c r="E307" s="7">
        <f>Données!L51</f>
        <v>44177</v>
      </c>
      <c r="F307" s="6" t="str">
        <f>INDEX(Données!$F$2:$L$54,MATCH('#5'!E307,Données!$G$2:$G$54,1),1)</f>
        <v>50</v>
      </c>
      <c r="G307" s="18" t="str">
        <f t="shared" si="9"/>
        <v/>
      </c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1"/>
      <c r="W307" s="75"/>
      <c r="X307" s="75"/>
      <c r="Y307" s="75"/>
      <c r="Z307" s="96">
        <f>SUM(Tableau16[[#This Row],[A-1]:[G-5]])</f>
        <v>0</v>
      </c>
      <c r="AA307" s="96" t="str">
        <f>IF(AND(Z307&gt;0,Tableau16[[#This Row],[CDS]]=""),"Oui","Non")</f>
        <v>Non</v>
      </c>
      <c r="AB307" s="75"/>
      <c r="AC307" s="75"/>
      <c r="AD307" s="75"/>
      <c r="AE307" s="75"/>
      <c r="AF307" s="75"/>
      <c r="AG307" s="75"/>
      <c r="AH307" s="75"/>
      <c r="AI307" s="75"/>
      <c r="AJ307" s="81"/>
      <c r="AK307" s="75"/>
      <c r="AL307" s="75"/>
    </row>
    <row r="308" spans="1:38" ht="15.75" hidden="1" thickBot="1" x14ac:dyDescent="0.3">
      <c r="A308" s="75"/>
      <c r="B308" s="75"/>
      <c r="C308" s="35">
        <f>INDEX(Données!$F$2:$L$54,MATCH(F308,Données!$F$2:$F$54,0),2)</f>
        <v>44179</v>
      </c>
      <c r="D308" s="29" t="str">
        <f t="shared" si="8"/>
        <v>#5</v>
      </c>
      <c r="E308" s="7">
        <f>Données!G52</f>
        <v>44179</v>
      </c>
      <c r="F308" s="6" t="str">
        <f>INDEX(Données!$F$2:$L$54,MATCH('#5'!E308,Données!$G$2:$G$54,1),1)</f>
        <v>51</v>
      </c>
      <c r="G308" s="18" t="str">
        <f t="shared" si="9"/>
        <v/>
      </c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1"/>
      <c r="W308" s="75"/>
      <c r="X308" s="75"/>
      <c r="Y308" s="75"/>
      <c r="Z308" s="96">
        <f>SUM(Tableau16[[#This Row],[A-1]:[G-5]])</f>
        <v>0</v>
      </c>
      <c r="AA308" s="96" t="str">
        <f>IF(AND(Z308&gt;0,Tableau16[[#This Row],[CDS]]=""),"Oui","Non")</f>
        <v>Non</v>
      </c>
      <c r="AB308" s="75"/>
      <c r="AC308" s="75"/>
      <c r="AD308" s="75"/>
      <c r="AE308" s="75"/>
      <c r="AF308" s="75"/>
      <c r="AG308" s="75"/>
      <c r="AH308" s="75"/>
      <c r="AI308" s="75"/>
      <c r="AJ308" s="81"/>
      <c r="AK308" s="75"/>
      <c r="AL308" s="75"/>
    </row>
    <row r="309" spans="1:38" ht="15.75" hidden="1" thickBot="1" x14ac:dyDescent="0.3">
      <c r="A309" s="75"/>
      <c r="B309" s="75"/>
      <c r="C309" s="35">
        <f>INDEX(Données!$F$2:$L$54,MATCH(F309,Données!$F$2:$F$54,0),2)</f>
        <v>44179</v>
      </c>
      <c r="D309" s="29" t="str">
        <f t="shared" si="8"/>
        <v>#5</v>
      </c>
      <c r="E309" s="7">
        <f>Données!H52</f>
        <v>44180</v>
      </c>
      <c r="F309" s="6" t="str">
        <f>INDEX(Données!$F$2:$L$54,MATCH('#5'!E309,Données!$G$2:$G$54,1),1)</f>
        <v>51</v>
      </c>
      <c r="G309" s="18" t="str">
        <f t="shared" si="9"/>
        <v/>
      </c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1"/>
      <c r="W309" s="75"/>
      <c r="X309" s="75"/>
      <c r="Y309" s="75"/>
      <c r="Z309" s="96">
        <f>SUM(Tableau16[[#This Row],[A-1]:[G-5]])</f>
        <v>0</v>
      </c>
      <c r="AA309" s="96" t="str">
        <f>IF(AND(Z309&gt;0,Tableau16[[#This Row],[CDS]]=""),"Oui","Non")</f>
        <v>Non</v>
      </c>
      <c r="AB309" s="75"/>
      <c r="AC309" s="75"/>
      <c r="AD309" s="75"/>
      <c r="AE309" s="75"/>
      <c r="AF309" s="75"/>
      <c r="AG309" s="75"/>
      <c r="AH309" s="75"/>
      <c r="AI309" s="75"/>
      <c r="AJ309" s="81"/>
      <c r="AK309" s="75"/>
      <c r="AL309" s="75"/>
    </row>
    <row r="310" spans="1:38" ht="15.75" hidden="1" thickBot="1" x14ac:dyDescent="0.3">
      <c r="A310" s="75"/>
      <c r="B310" s="75"/>
      <c r="C310" s="35">
        <f>INDEX(Données!$F$2:$L$54,MATCH(F310,Données!$F$2:$F$54,0),2)</f>
        <v>44179</v>
      </c>
      <c r="D310" s="29" t="str">
        <f t="shared" si="8"/>
        <v>#5</v>
      </c>
      <c r="E310" s="7">
        <f>Données!I52</f>
        <v>44181</v>
      </c>
      <c r="F310" s="6" t="str">
        <f>INDEX(Données!$F$2:$L$54,MATCH('#5'!E310,Données!$G$2:$G$54,1),1)</f>
        <v>51</v>
      </c>
      <c r="G310" s="18" t="str">
        <f t="shared" si="9"/>
        <v/>
      </c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1"/>
      <c r="W310" s="75"/>
      <c r="X310" s="75"/>
      <c r="Y310" s="75"/>
      <c r="Z310" s="96">
        <f>SUM(Tableau16[[#This Row],[A-1]:[G-5]])</f>
        <v>0</v>
      </c>
      <c r="AA310" s="96" t="str">
        <f>IF(AND(Z310&gt;0,Tableau16[[#This Row],[CDS]]=""),"Oui","Non")</f>
        <v>Non</v>
      </c>
      <c r="AB310" s="75"/>
      <c r="AC310" s="75"/>
      <c r="AD310" s="75"/>
      <c r="AE310" s="75"/>
      <c r="AF310" s="75"/>
      <c r="AG310" s="75"/>
      <c r="AH310" s="75"/>
      <c r="AI310" s="75"/>
      <c r="AJ310" s="81"/>
      <c r="AK310" s="75"/>
      <c r="AL310" s="75"/>
    </row>
    <row r="311" spans="1:38" ht="15.75" hidden="1" thickBot="1" x14ac:dyDescent="0.3">
      <c r="A311" s="75"/>
      <c r="B311" s="75"/>
      <c r="C311" s="35">
        <f>INDEX(Données!$F$2:$L$54,MATCH(F311,Données!$F$2:$F$54,0),2)</f>
        <v>44179</v>
      </c>
      <c r="D311" s="29" t="str">
        <f t="shared" si="8"/>
        <v>#5</v>
      </c>
      <c r="E311" s="7">
        <f>Données!J52</f>
        <v>44182</v>
      </c>
      <c r="F311" s="6" t="str">
        <f>INDEX(Données!$F$2:$L$54,MATCH('#5'!E311,Données!$G$2:$G$54,1),1)</f>
        <v>51</v>
      </c>
      <c r="G311" s="18" t="str">
        <f t="shared" si="9"/>
        <v/>
      </c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1"/>
      <c r="W311" s="75"/>
      <c r="X311" s="75"/>
      <c r="Y311" s="75"/>
      <c r="Z311" s="96">
        <f>SUM(Tableau16[[#This Row],[A-1]:[G-5]])</f>
        <v>0</v>
      </c>
      <c r="AA311" s="96" t="str">
        <f>IF(AND(Z311&gt;0,Tableau16[[#This Row],[CDS]]=""),"Oui","Non")</f>
        <v>Non</v>
      </c>
      <c r="AB311" s="75"/>
      <c r="AC311" s="75"/>
      <c r="AD311" s="75"/>
      <c r="AE311" s="75"/>
      <c r="AF311" s="75"/>
      <c r="AG311" s="75"/>
      <c r="AH311" s="75"/>
      <c r="AI311" s="75"/>
      <c r="AJ311" s="81"/>
      <c r="AK311" s="75"/>
      <c r="AL311" s="75"/>
    </row>
    <row r="312" spans="1:38" ht="15.75" hidden="1" thickBot="1" x14ac:dyDescent="0.3">
      <c r="A312" s="75"/>
      <c r="B312" s="75"/>
      <c r="C312" s="35">
        <f>INDEX(Données!$F$2:$L$54,MATCH(F312,Données!$F$2:$F$54,0),2)</f>
        <v>44179</v>
      </c>
      <c r="D312" s="29" t="str">
        <f t="shared" si="8"/>
        <v>#5</v>
      </c>
      <c r="E312" s="7">
        <f>Données!K52</f>
        <v>44183</v>
      </c>
      <c r="F312" s="6" t="str">
        <f>INDEX(Données!$F$2:$L$54,MATCH('#5'!E312,Données!$G$2:$G$54,1),1)</f>
        <v>51</v>
      </c>
      <c r="G312" s="18" t="str">
        <f t="shared" si="9"/>
        <v/>
      </c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1"/>
      <c r="W312" s="75"/>
      <c r="X312" s="75"/>
      <c r="Y312" s="75"/>
      <c r="Z312" s="96">
        <f>SUM(Tableau16[[#This Row],[A-1]:[G-5]])</f>
        <v>0</v>
      </c>
      <c r="AA312" s="96" t="str">
        <f>IF(AND(Z312&gt;0,Tableau16[[#This Row],[CDS]]=""),"Oui","Non")</f>
        <v>Non</v>
      </c>
      <c r="AB312" s="75"/>
      <c r="AC312" s="75"/>
      <c r="AD312" s="75"/>
      <c r="AE312" s="75"/>
      <c r="AF312" s="75"/>
      <c r="AG312" s="75"/>
      <c r="AH312" s="75"/>
      <c r="AI312" s="75"/>
      <c r="AJ312" s="81"/>
      <c r="AK312" s="75"/>
      <c r="AL312" s="75"/>
    </row>
    <row r="313" spans="1:38" ht="15.75" hidden="1" thickBot="1" x14ac:dyDescent="0.3">
      <c r="A313" s="75"/>
      <c r="B313" s="75"/>
      <c r="C313" s="35">
        <f>INDEX(Données!$F$2:$L$54,MATCH(F313,Données!$F$2:$F$54,0),2)</f>
        <v>44179</v>
      </c>
      <c r="D313" s="29" t="str">
        <f t="shared" si="8"/>
        <v>#5</v>
      </c>
      <c r="E313" s="7">
        <f>Données!L52</f>
        <v>44184</v>
      </c>
      <c r="F313" s="6" t="str">
        <f>INDEX(Données!$F$2:$L$54,MATCH('#5'!E313,Données!$G$2:$G$54,1),1)</f>
        <v>51</v>
      </c>
      <c r="G313" s="18" t="str">
        <f>IF(AND($V$5=1),"PS-1",IF(AND($V$5=2),"PS-2",IF(AND($V$5=4),"PS-4",IF(AND($V$5=6),"S.O.",IF(AND($V$5=5),"")))))</f>
        <v/>
      </c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1"/>
      <c r="W313" s="75"/>
      <c r="X313" s="75"/>
      <c r="Y313" s="75"/>
      <c r="Z313" s="96">
        <f>SUM(Tableau16[[#This Row],[A-1]:[G-5]])</f>
        <v>0</v>
      </c>
      <c r="AA313" s="96" t="str">
        <f>IF(AND(Z313&gt;0,Tableau16[[#This Row],[CDS]]=""),"Oui","Non")</f>
        <v>Non</v>
      </c>
      <c r="AB313" s="75"/>
      <c r="AC313" s="75"/>
      <c r="AD313" s="75"/>
      <c r="AE313" s="75"/>
      <c r="AF313" s="75"/>
      <c r="AG313" s="75"/>
      <c r="AH313" s="75"/>
      <c r="AI313" s="75"/>
      <c r="AJ313" s="81"/>
      <c r="AK313" s="75"/>
      <c r="AL313" s="75"/>
    </row>
    <row r="314" spans="1:38" ht="15.75" hidden="1" thickBot="1" x14ac:dyDescent="0.3">
      <c r="A314" s="75"/>
      <c r="B314" s="75"/>
      <c r="C314" s="35">
        <f>INDEX(Données!$F$2:$L$54,MATCH(F314,Données!$F$2:$F$54,0),2)</f>
        <v>44186</v>
      </c>
      <c r="D314" s="29" t="str">
        <f t="shared" si="8"/>
        <v>#5</v>
      </c>
      <c r="E314" s="7">
        <f>Données!G53</f>
        <v>44186</v>
      </c>
      <c r="F314" s="6" t="str">
        <f>INDEX(Données!$F$2:$L$54,MATCH('#5'!E314,Données!$G$2:$G$54,1),1)</f>
        <v>52</v>
      </c>
      <c r="G314" s="18" t="str">
        <f t="shared" si="9"/>
        <v/>
      </c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1"/>
      <c r="W314" s="75"/>
      <c r="X314" s="75"/>
      <c r="Y314" s="75"/>
      <c r="Z314" s="96">
        <f>SUM(Tableau16[[#This Row],[A-1]:[G-5]])</f>
        <v>0</v>
      </c>
      <c r="AA314" s="96" t="str">
        <f>IF(AND(Z314&gt;0,Tableau16[[#This Row],[CDS]]=""),"Oui","Non")</f>
        <v>Non</v>
      </c>
      <c r="AB314" s="75"/>
      <c r="AC314" s="75"/>
      <c r="AD314" s="75"/>
      <c r="AE314" s="75"/>
      <c r="AF314" s="75"/>
      <c r="AG314" s="75"/>
      <c r="AH314" s="75"/>
      <c r="AI314" s="75"/>
      <c r="AJ314" s="81"/>
      <c r="AK314" s="75"/>
      <c r="AL314" s="75"/>
    </row>
    <row r="315" spans="1:38" ht="15.75" hidden="1" thickBot="1" x14ac:dyDescent="0.3">
      <c r="A315" s="75"/>
      <c r="B315" s="75"/>
      <c r="C315" s="35">
        <f>INDEX(Données!$F$2:$L$54,MATCH(F315,Données!$F$2:$F$54,0),2)</f>
        <v>44186</v>
      </c>
      <c r="D315" s="29" t="str">
        <f t="shared" si="8"/>
        <v>#5</v>
      </c>
      <c r="E315" s="7">
        <f>Données!H53</f>
        <v>44187</v>
      </c>
      <c r="F315" s="6" t="str">
        <f>INDEX(Données!$F$2:$L$54,MATCH('#5'!E315,Données!$G$2:$G$54,1),1)</f>
        <v>52</v>
      </c>
      <c r="G315" s="18" t="str">
        <f t="shared" si="9"/>
        <v/>
      </c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1"/>
      <c r="W315" s="75"/>
      <c r="X315" s="75"/>
      <c r="Y315" s="75"/>
      <c r="Z315" s="96">
        <f>SUM(Tableau16[[#This Row],[A-1]:[G-5]])</f>
        <v>0</v>
      </c>
      <c r="AA315" s="96" t="str">
        <f>IF(AND(Z315&gt;0,Tableau16[[#This Row],[CDS]]=""),"Oui","Non")</f>
        <v>Non</v>
      </c>
      <c r="AB315" s="75"/>
      <c r="AC315" s="75"/>
      <c r="AD315" s="75"/>
      <c r="AE315" s="75"/>
      <c r="AF315" s="75"/>
      <c r="AG315" s="75"/>
      <c r="AH315" s="75"/>
      <c r="AI315" s="75"/>
      <c r="AJ315" s="81"/>
      <c r="AK315" s="75"/>
      <c r="AL315" s="75"/>
    </row>
    <row r="316" spans="1:38" ht="15.75" hidden="1" thickBot="1" x14ac:dyDescent="0.3">
      <c r="A316" s="75"/>
      <c r="B316" s="75"/>
      <c r="C316" s="35">
        <f>INDEX(Données!$F$2:$L$54,MATCH(F316,Données!$F$2:$F$54,0),2)</f>
        <v>44186</v>
      </c>
      <c r="D316" s="29" t="str">
        <f t="shared" si="8"/>
        <v>#5</v>
      </c>
      <c r="E316" s="7">
        <f>Données!I53</f>
        <v>44188</v>
      </c>
      <c r="F316" s="6" t="str">
        <f>INDEX(Données!$F$2:$L$54,MATCH('#5'!E316,Données!$G$2:$G$54,1),1)</f>
        <v>52</v>
      </c>
      <c r="G316" s="18" t="str">
        <f t="shared" si="9"/>
        <v/>
      </c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1"/>
      <c r="W316" s="75"/>
      <c r="X316" s="75"/>
      <c r="Y316" s="75"/>
      <c r="Z316" s="96">
        <f>SUM(Tableau16[[#This Row],[A-1]:[G-5]])</f>
        <v>0</v>
      </c>
      <c r="AA316" s="96" t="str">
        <f>IF(AND(Z316&gt;0,Tableau16[[#This Row],[CDS]]=""),"Oui","Non")</f>
        <v>Non</v>
      </c>
      <c r="AB316" s="75"/>
      <c r="AC316" s="75"/>
      <c r="AD316" s="75"/>
      <c r="AE316" s="75"/>
      <c r="AF316" s="75"/>
      <c r="AG316" s="75"/>
      <c r="AH316" s="75"/>
      <c r="AI316" s="75"/>
      <c r="AJ316" s="81"/>
      <c r="AK316" s="75"/>
      <c r="AL316" s="75"/>
    </row>
    <row r="317" spans="1:38" ht="15.75" hidden="1" thickBot="1" x14ac:dyDescent="0.3">
      <c r="A317" s="75"/>
      <c r="B317" s="75"/>
      <c r="C317" s="35">
        <f>INDEX(Données!$F$2:$L$54,MATCH(F317,Données!$F$2:$F$54,0),2)</f>
        <v>44186</v>
      </c>
      <c r="D317" s="29" t="str">
        <f t="shared" si="8"/>
        <v>#5</v>
      </c>
      <c r="E317" s="7">
        <f>Données!J53</f>
        <v>44189</v>
      </c>
      <c r="F317" s="6" t="str">
        <f>INDEX(Données!$F$2:$L$54,MATCH('#5'!E317,Données!$G$2:$G$54,1),1)</f>
        <v>52</v>
      </c>
      <c r="G317" s="18" t="str">
        <f t="shared" si="9"/>
        <v/>
      </c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1"/>
      <c r="W317" s="75"/>
      <c r="X317" s="75"/>
      <c r="Y317" s="75"/>
      <c r="Z317" s="96">
        <f>SUM(Tableau16[[#This Row],[A-1]:[G-5]])</f>
        <v>0</v>
      </c>
      <c r="AA317" s="96" t="str">
        <f>IF(AND(Z317&gt;0,Tableau16[[#This Row],[CDS]]=""),"Oui","Non")</f>
        <v>Non</v>
      </c>
      <c r="AB317" s="75"/>
      <c r="AC317" s="75"/>
      <c r="AD317" s="75"/>
      <c r="AE317" s="75"/>
      <c r="AF317" s="75"/>
      <c r="AG317" s="75"/>
      <c r="AH317" s="75"/>
      <c r="AI317" s="75"/>
      <c r="AJ317" s="81"/>
      <c r="AK317" s="75"/>
      <c r="AL317" s="75"/>
    </row>
    <row r="318" spans="1:38" ht="15.75" hidden="1" thickBot="1" x14ac:dyDescent="0.3">
      <c r="A318" s="75"/>
      <c r="B318" s="75"/>
      <c r="C318" s="35">
        <f>INDEX(Données!$F$2:$L$54,MATCH(F318,Données!$F$2:$F$54,0),2)</f>
        <v>44186</v>
      </c>
      <c r="D318" s="29" t="str">
        <f t="shared" si="8"/>
        <v>#5</v>
      </c>
      <c r="E318" s="7">
        <f>Données!K53</f>
        <v>44190</v>
      </c>
      <c r="F318" s="6" t="str">
        <f>INDEX(Données!$F$2:$L$54,MATCH('#5'!E318,Données!$G$2:$G$54,1),1)</f>
        <v>52</v>
      </c>
      <c r="G318" s="18" t="str">
        <f t="shared" si="9"/>
        <v/>
      </c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1"/>
      <c r="W318" s="75"/>
      <c r="X318" s="75"/>
      <c r="Y318" s="75"/>
      <c r="Z318" s="96">
        <f>SUM(Tableau16[[#This Row],[A-1]:[G-5]])</f>
        <v>0</v>
      </c>
      <c r="AA318" s="96" t="str">
        <f>IF(AND(Z318&gt;0,Tableau16[[#This Row],[CDS]]=""),"Oui","Non")</f>
        <v>Non</v>
      </c>
      <c r="AB318" s="75"/>
      <c r="AC318" s="75"/>
      <c r="AD318" s="75"/>
      <c r="AE318" s="75"/>
      <c r="AF318" s="75"/>
      <c r="AG318" s="75"/>
      <c r="AH318" s="75"/>
      <c r="AI318" s="75"/>
      <c r="AJ318" s="81"/>
      <c r="AK318" s="75"/>
      <c r="AL318" s="75"/>
    </row>
    <row r="319" spans="1:38" ht="15.75" hidden="1" thickBot="1" x14ac:dyDescent="0.3">
      <c r="A319" s="75"/>
      <c r="B319" s="75"/>
      <c r="C319" s="35">
        <f>INDEX(Données!$F$2:$L$54,MATCH(F319,Données!$F$2:$F$54,0),2)</f>
        <v>44186</v>
      </c>
      <c r="D319" s="29" t="str">
        <f t="shared" si="8"/>
        <v>#5</v>
      </c>
      <c r="E319" s="7">
        <f>Données!L53</f>
        <v>44191</v>
      </c>
      <c r="F319" s="6" t="str">
        <f>INDEX(Données!$F$2:$L$54,MATCH('#5'!E319,Données!$G$2:$G$54,1),1)</f>
        <v>52</v>
      </c>
      <c r="G319" s="18" t="str">
        <f t="shared" si="9"/>
        <v/>
      </c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1"/>
      <c r="W319" s="75"/>
      <c r="X319" s="75"/>
      <c r="Y319" s="75"/>
      <c r="Z319" s="96">
        <f>SUM(Tableau16[[#This Row],[A-1]:[G-5]])</f>
        <v>0</v>
      </c>
      <c r="AA319" s="96" t="str">
        <f>IF(AND(Z319&gt;0,Tableau16[[#This Row],[CDS]]=""),"Oui","Non")</f>
        <v>Non</v>
      </c>
      <c r="AB319" s="75"/>
      <c r="AC319" s="75"/>
      <c r="AD319" s="75"/>
      <c r="AE319" s="75"/>
      <c r="AF319" s="75"/>
      <c r="AG319" s="75"/>
      <c r="AH319" s="75"/>
      <c r="AI319" s="75"/>
      <c r="AJ319" s="81"/>
      <c r="AK319" s="75"/>
      <c r="AL319" s="75"/>
    </row>
    <row r="320" spans="1:38" ht="15.75" hidden="1" thickBot="1" x14ac:dyDescent="0.3">
      <c r="A320" s="75"/>
      <c r="B320" s="75"/>
      <c r="C320" s="35">
        <f>INDEX(Données!$F$2:$L$54,MATCH(F320,Données!$F$2:$F$54,0),2)</f>
        <v>44193</v>
      </c>
      <c r="D320" s="29" t="str">
        <f t="shared" si="8"/>
        <v>#5</v>
      </c>
      <c r="E320" s="7">
        <f>Données!G54</f>
        <v>44193</v>
      </c>
      <c r="F320" s="6" t="str">
        <f>INDEX(Données!$F$2:$L$54,MATCH('#5'!E320,Données!$G$2:$G$54,1),1)</f>
        <v>53</v>
      </c>
      <c r="G320" s="18" t="str">
        <f t="shared" si="9"/>
        <v/>
      </c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1"/>
      <c r="W320" s="75"/>
      <c r="X320" s="75"/>
      <c r="Y320" s="75"/>
      <c r="Z320" s="96">
        <f>SUM(Tableau16[[#This Row],[A-1]:[G-5]])</f>
        <v>0</v>
      </c>
      <c r="AA320" s="96" t="str">
        <f>IF(AND(Z320&gt;0,Tableau16[[#This Row],[CDS]]=""),"Oui","Non")</f>
        <v>Non</v>
      </c>
      <c r="AB320" s="75"/>
      <c r="AC320" s="75"/>
      <c r="AD320" s="75"/>
      <c r="AE320" s="75"/>
      <c r="AF320" s="75"/>
      <c r="AG320" s="75"/>
      <c r="AH320" s="75"/>
      <c r="AI320" s="75"/>
      <c r="AJ320" s="81"/>
      <c r="AK320" s="75"/>
      <c r="AL320" s="75"/>
    </row>
    <row r="321" spans="1:38" ht="15.75" hidden="1" thickBot="1" x14ac:dyDescent="0.3">
      <c r="A321" s="75"/>
      <c r="B321" s="75"/>
      <c r="C321" s="35">
        <f>INDEX(Données!$F$2:$L$54,MATCH(F321,Données!$F$2:$F$54,0),2)</f>
        <v>44193</v>
      </c>
      <c r="D321" s="29" t="str">
        <f t="shared" si="8"/>
        <v>#5</v>
      </c>
      <c r="E321" s="7">
        <f>Données!H54</f>
        <v>44194</v>
      </c>
      <c r="F321" s="6" t="str">
        <f>INDEX(Données!$F$2:$L$54,MATCH('#5'!E321,Données!$G$2:$G$54,1),1)</f>
        <v>53</v>
      </c>
      <c r="G321" s="18" t="str">
        <f>IF(AND($V$5=1),"PS-1",IF(AND($V$5=2),"PS-2",IF(AND($V$5=4),"PS-4",IF(AND($V$5=6),"S.O.",IF(AND($V$5=5),"")))))</f>
        <v/>
      </c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1"/>
      <c r="W321" s="75"/>
      <c r="X321" s="75"/>
      <c r="Y321" s="75"/>
      <c r="Z321" s="96">
        <f>SUM(Tableau16[[#This Row],[A-1]:[G-5]])</f>
        <v>0</v>
      </c>
      <c r="AA321" s="96" t="str">
        <f>IF(AND(Z321&gt;0,Tableau16[[#This Row],[CDS]]=""),"Oui","Non")</f>
        <v>Non</v>
      </c>
      <c r="AB321" s="75"/>
      <c r="AC321" s="75"/>
      <c r="AD321" s="75"/>
      <c r="AE321" s="75"/>
      <c r="AF321" s="75"/>
      <c r="AG321" s="75"/>
      <c r="AH321" s="75"/>
      <c r="AI321" s="75"/>
      <c r="AJ321" s="81"/>
      <c r="AK321" s="75"/>
      <c r="AL321" s="75"/>
    </row>
    <row r="322" spans="1:38" ht="15.75" hidden="1" thickBot="1" x14ac:dyDescent="0.3">
      <c r="A322" s="75"/>
      <c r="B322" s="75"/>
      <c r="C322" s="35">
        <f>INDEX(Données!$F$2:$L$54,MATCH(F322,Données!$F$2:$F$54,0),2)</f>
        <v>44193</v>
      </c>
      <c r="D322" s="29" t="str">
        <f t="shared" si="8"/>
        <v>#5</v>
      </c>
      <c r="E322" s="7">
        <f>Données!I54</f>
        <v>44195</v>
      </c>
      <c r="F322" s="6" t="str">
        <f>INDEX(Données!$F$2:$L$54,MATCH('#5'!E322,Données!$G$2:$G$54,1),1)</f>
        <v>53</v>
      </c>
      <c r="G322" s="18" t="str">
        <f t="shared" si="9"/>
        <v/>
      </c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1"/>
      <c r="W322" s="75"/>
      <c r="X322" s="75"/>
      <c r="Y322" s="75"/>
      <c r="Z322" s="96">
        <f>SUM(Tableau16[[#This Row],[A-1]:[G-5]])</f>
        <v>0</v>
      </c>
      <c r="AA322" s="96" t="str">
        <f>IF(AND(Z322&gt;0,Tableau16[[#This Row],[CDS]]=""),"Oui","Non")</f>
        <v>Non</v>
      </c>
      <c r="AB322" s="75"/>
      <c r="AC322" s="75"/>
      <c r="AD322" s="75"/>
      <c r="AE322" s="75"/>
      <c r="AF322" s="75"/>
      <c r="AG322" s="75"/>
      <c r="AH322" s="75"/>
      <c r="AI322" s="75"/>
      <c r="AJ322" s="81"/>
      <c r="AK322" s="75"/>
      <c r="AL322" s="75"/>
    </row>
    <row r="323" spans="1:38" ht="15.75" hidden="1" thickBot="1" x14ac:dyDescent="0.3">
      <c r="A323" s="75"/>
      <c r="B323" s="75"/>
      <c r="C323" s="35">
        <f>INDEX(Données!$F$2:$L$54,MATCH(F323,Données!$F$2:$F$54,0),2)</f>
        <v>44193</v>
      </c>
      <c r="D323" s="29" t="str">
        <f t="shared" si="8"/>
        <v>#5</v>
      </c>
      <c r="E323" s="7">
        <f>Données!J54</f>
        <v>44196</v>
      </c>
      <c r="F323" s="6" t="str">
        <f>INDEX(Données!$F$2:$L$54,MATCH('#5'!E323,Données!$G$2:$G$54,1),1)</f>
        <v>53</v>
      </c>
      <c r="G323" s="18" t="str">
        <f t="shared" si="9"/>
        <v/>
      </c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1"/>
      <c r="W323" s="75"/>
      <c r="X323" s="75"/>
      <c r="Y323" s="75"/>
      <c r="Z323" s="96">
        <f>SUM(Tableau16[[#This Row],[A-1]:[G-5]])</f>
        <v>0</v>
      </c>
      <c r="AA323" s="96" t="str">
        <f>IF(AND(Z323&gt;0,Tableau16[[#This Row],[CDS]]=""),"Oui","Non")</f>
        <v>Non</v>
      </c>
      <c r="AB323" s="75"/>
      <c r="AC323" s="75"/>
      <c r="AD323" s="75"/>
      <c r="AE323" s="75"/>
      <c r="AF323" s="75"/>
      <c r="AG323" s="75"/>
      <c r="AH323" s="75"/>
      <c r="AI323" s="75"/>
      <c r="AJ323" s="81"/>
      <c r="AK323" s="75"/>
      <c r="AL323" s="75"/>
    </row>
    <row r="324" spans="1:38" ht="15.75" hidden="1" thickBot="1" x14ac:dyDescent="0.3">
      <c r="A324" s="75"/>
      <c r="B324" s="75"/>
      <c r="C324" s="35">
        <f>INDEX(Données!$F$2:$L$54,MATCH(F324,Données!$F$2:$F$54,0),2)</f>
        <v>44193</v>
      </c>
      <c r="D324" s="29" t="str">
        <f t="shared" si="8"/>
        <v>#5</v>
      </c>
      <c r="E324" s="7">
        <f>Données!K54</f>
        <v>44197</v>
      </c>
      <c r="F324" s="6" t="str">
        <f>INDEX(Données!$F$2:$L$54,MATCH('#5'!E324,Données!$G$2:$G$54,1),1)</f>
        <v>53</v>
      </c>
      <c r="G324" s="18" t="str">
        <f t="shared" si="9"/>
        <v/>
      </c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1"/>
      <c r="W324" s="75"/>
      <c r="X324" s="75"/>
      <c r="Y324" s="75"/>
      <c r="Z324" s="96">
        <f>SUM(Tableau16[[#This Row],[A-1]:[G-5]])</f>
        <v>0</v>
      </c>
      <c r="AA324" s="96" t="str">
        <f>IF(AND(Z324&gt;0,Tableau16[[#This Row],[CDS]]=""),"Oui","Non")</f>
        <v>Non</v>
      </c>
      <c r="AB324" s="75"/>
      <c r="AC324" s="75"/>
      <c r="AD324" s="75"/>
      <c r="AE324" s="75"/>
      <c r="AF324" s="75"/>
      <c r="AG324" s="75"/>
      <c r="AH324" s="75"/>
      <c r="AI324" s="75"/>
      <c r="AJ324" s="81"/>
      <c r="AK324" s="75"/>
      <c r="AL324" s="75"/>
    </row>
    <row r="325" spans="1:38" ht="15.75" hidden="1" thickBot="1" x14ac:dyDescent="0.3">
      <c r="A325" s="75"/>
      <c r="B325" s="75"/>
      <c r="C325" s="35">
        <f>INDEX(Données!$F$2:$L$54,MATCH(F325,Données!$F$2:$F$54,0),2)</f>
        <v>44193</v>
      </c>
      <c r="D325" s="29" t="str">
        <f t="shared" si="8"/>
        <v>#5</v>
      </c>
      <c r="E325" s="8">
        <f>Données!L54</f>
        <v>44198</v>
      </c>
      <c r="F325" s="9" t="str">
        <f>INDEX(Données!$F$2:$L$54,MATCH('#5'!E325,Données!$G$2:$G$54,1),1)</f>
        <v>53</v>
      </c>
      <c r="G325" s="18" t="str">
        <f t="shared" si="9"/>
        <v/>
      </c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3"/>
      <c r="W325" s="75"/>
      <c r="X325" s="75"/>
      <c r="Y325" s="75"/>
      <c r="Z325" s="96">
        <f>SUM(Tableau16[[#This Row],[A-1]:[G-5]])</f>
        <v>0</v>
      </c>
      <c r="AA325" s="96" t="str">
        <f>IF(AND(Z325&gt;0,Tableau16[[#This Row],[CDS]]=""),"Oui","Non")</f>
        <v>Non</v>
      </c>
      <c r="AB325" s="75"/>
      <c r="AC325" s="75"/>
      <c r="AD325" s="75"/>
      <c r="AE325" s="75"/>
      <c r="AF325" s="75"/>
      <c r="AG325" s="75"/>
      <c r="AH325" s="75"/>
      <c r="AI325" s="75"/>
      <c r="AJ325" s="81"/>
      <c r="AK325" s="75"/>
      <c r="AL325" s="75"/>
    </row>
    <row r="326" spans="1:38" x14ac:dyDescent="0.25">
      <c r="A326" s="75"/>
      <c r="B326" s="75"/>
      <c r="C326" s="51"/>
      <c r="D326" s="31"/>
      <c r="E326" s="157" t="s">
        <v>84</v>
      </c>
      <c r="F326" s="158"/>
      <c r="G326" s="159"/>
      <c r="H326" s="11">
        <f>SUMIF(Tableau16[CDS],"S.O.",Tableau16[A-1])</f>
        <v>0</v>
      </c>
      <c r="I326" s="11">
        <f>SUMIF(Tableau16[CDS],"S.O.",Tableau16[B-1])</f>
        <v>0</v>
      </c>
      <c r="J326" s="11">
        <f>SUMIF(Tableau16[CDS],"S.O.",Tableau16[B-2])</f>
        <v>0</v>
      </c>
      <c r="K326" s="11">
        <f>SUMIF(Tableau16[CDS],"S.O.",Tableau16[C-1])</f>
        <v>0</v>
      </c>
      <c r="L326" s="11">
        <f>SUMIF(Tableau16[CDS],"S.O.",Tableau16[C-2])</f>
        <v>0</v>
      </c>
      <c r="M326" s="11">
        <f>SUMIF(Tableau16[CDS],"S.O.",Tableau16[D-1])</f>
        <v>0</v>
      </c>
      <c r="N326" s="11">
        <f>SUMIF(Tableau16[CDS],"S.O.",Tableau16[D-2])</f>
        <v>0</v>
      </c>
      <c r="O326" s="11">
        <f>SUMIF(Tableau16[CDS],"S.O.",Tableau16[E-1])</f>
        <v>0</v>
      </c>
      <c r="P326" s="11">
        <f>SUMIF(Tableau16[CDS],"S.O.",Tableau16[E2])</f>
        <v>0</v>
      </c>
      <c r="Q326" s="11">
        <f>SUMIF(Tableau16[CDS],"S.O.",Tableau16[G-1])</f>
        <v>0</v>
      </c>
      <c r="R326" s="11">
        <f>SUMIF(Tableau16[CDS],"S.O.",Tableau16[G-2])</f>
        <v>0</v>
      </c>
      <c r="S326" s="11">
        <f>SUMIF(Tableau16[CDS],"S.O.",Tableau16[G-3])</f>
        <v>0</v>
      </c>
      <c r="T326" s="11">
        <f>SUMIF(Tableau16[CDS],"S.O.",Tableau16[G-4])</f>
        <v>0</v>
      </c>
      <c r="U326" s="11">
        <f>SUMIF(Tableau16[CDS],"S.O.",Tableau16[G-5])</f>
        <v>0</v>
      </c>
      <c r="V326" s="52"/>
      <c r="W326" s="75"/>
      <c r="X326" s="75"/>
      <c r="Y326" s="75"/>
      <c r="Z326" s="96"/>
      <c r="AA326" s="96"/>
      <c r="AB326" s="75"/>
      <c r="AC326" s="75"/>
      <c r="AD326" s="75"/>
      <c r="AE326" s="75"/>
      <c r="AF326" s="75"/>
      <c r="AG326" s="75"/>
      <c r="AH326" s="75"/>
      <c r="AI326" s="75"/>
      <c r="AJ326" s="81"/>
      <c r="AK326" s="75"/>
      <c r="AL326" s="75"/>
    </row>
    <row r="327" spans="1:38" x14ac:dyDescent="0.25">
      <c r="A327" s="75"/>
      <c r="B327" s="75"/>
      <c r="C327" s="8"/>
      <c r="D327" s="30"/>
      <c r="E327" s="57" t="s">
        <v>121</v>
      </c>
      <c r="F327" s="53"/>
      <c r="G327" s="87"/>
      <c r="H327" s="148">
        <f>SUMIF(Tableau16[CDS],"PS-1",Tableau16[A-1])</f>
        <v>0</v>
      </c>
      <c r="I327" s="148">
        <f>SUMIF(Tableau16[CDS],"PS-1",Tableau16[B-1])</f>
        <v>0</v>
      </c>
      <c r="J327" s="148">
        <f>SUMIF(Tableau16[CDS],"PS-1",Tableau16[B-2])</f>
        <v>0</v>
      </c>
      <c r="K327" s="148">
        <f>SUMIF(Tableau16[CDS],"PS-1",Tableau16[C-1])</f>
        <v>0</v>
      </c>
      <c r="L327" s="148">
        <f>SUMIF(Tableau16[CDS],"PS-1",Tableau16[C-2])</f>
        <v>0</v>
      </c>
      <c r="M327" s="148">
        <f>SUMIF(Tableau16[CDS],"PS-1",Tableau16[D-1])</f>
        <v>0</v>
      </c>
      <c r="N327" s="148">
        <f>SUMIF(Tableau16[CDS],"PS-1",Tableau16[D-2])</f>
        <v>0</v>
      </c>
      <c r="O327" s="148">
        <f>SUMIF(Tableau16[CDS],"PS-1",Tableau16[E-1])</f>
        <v>0</v>
      </c>
      <c r="P327" s="148">
        <f>SUMIF(Tableau16[CDS],"PS-1",Tableau16[E2])</f>
        <v>0</v>
      </c>
      <c r="Q327" s="148">
        <f>SUMIF(Tableau16[CDS],"PS-1",Tableau16[G-1])</f>
        <v>0</v>
      </c>
      <c r="R327" s="148">
        <f>SUMIF(Tableau16[CDS],"PS-1",Tableau16[G-2])</f>
        <v>0</v>
      </c>
      <c r="S327" s="148">
        <f>SUMIF(Tableau16[CDS],"PS-1",Tableau16[G-3])</f>
        <v>0</v>
      </c>
      <c r="T327" s="148">
        <f>SUMIF(Tableau16[CDS],"PS-1",Tableau16[G-4])</f>
        <v>0</v>
      </c>
      <c r="U327" s="148">
        <f>SUMIF(Tableau16[CDS],"PS-1",Tableau16[G-5])</f>
        <v>0</v>
      </c>
      <c r="V327" s="90"/>
      <c r="W327" s="75"/>
      <c r="X327" s="75"/>
      <c r="Y327" s="75"/>
      <c r="Z327" s="96" t="e">
        <f>SUM(Tableau16[[#This Row],[A-1]:[G-5]])</f>
        <v>#VALUE!</v>
      </c>
      <c r="AA327" s="96" t="e">
        <f>IF(AND(Z327&lt;0,Tableau16[[#This Row],[CDS]]=""),"Oui","Non")</f>
        <v>#VALUE!</v>
      </c>
      <c r="AB327" s="75"/>
      <c r="AC327" s="75"/>
      <c r="AD327" s="75"/>
      <c r="AE327" s="75"/>
      <c r="AF327" s="75"/>
      <c r="AG327" s="75"/>
      <c r="AH327" s="75"/>
      <c r="AI327" s="75"/>
      <c r="AJ327" s="81"/>
      <c r="AK327" s="75"/>
      <c r="AL327" s="75"/>
    </row>
    <row r="328" spans="1:38" x14ac:dyDescent="0.25">
      <c r="A328" s="75"/>
      <c r="B328" s="75"/>
      <c r="C328" s="8"/>
      <c r="D328" s="30"/>
      <c r="E328" s="57" t="s">
        <v>122</v>
      </c>
      <c r="F328" s="53"/>
      <c r="G328" s="87"/>
      <c r="H328" s="148">
        <f>SUMIF(Tableau16[CDS],"PS-2",Tableau16[A-1])</f>
        <v>0</v>
      </c>
      <c r="I328" s="148">
        <f>SUMIF(Tableau16[CDS],"PS-2",Tableau16[B-1])</f>
        <v>0</v>
      </c>
      <c r="J328" s="148">
        <f>SUMIF(Tableau16[CDS],"PS-2",Tableau16[B-2])</f>
        <v>0</v>
      </c>
      <c r="K328" s="148">
        <f>SUMIF(Tableau16[CDS],"PS-2",Tableau16[C-1])</f>
        <v>0</v>
      </c>
      <c r="L328" s="148">
        <f>SUMIF(Tableau16[CDS],"PS-2",Tableau16[C-2])</f>
        <v>0</v>
      </c>
      <c r="M328" s="148">
        <f>SUMIF(Tableau16[CDS],"PS-2",Tableau16[D-1])</f>
        <v>0</v>
      </c>
      <c r="N328" s="148">
        <f>SUMIF(Tableau16[CDS],"PS-2",Tableau16[D-2])</f>
        <v>0</v>
      </c>
      <c r="O328" s="148">
        <f>SUMIF(Tableau16[CDS],"PS-2",Tableau16[E-1])</f>
        <v>0</v>
      </c>
      <c r="P328" s="148">
        <f>SUMIF(Tableau16[CDS],"PS-2",Tableau16[E2])</f>
        <v>0</v>
      </c>
      <c r="Q328" s="148">
        <f>SUMIF(Tableau16[CDS],"PS-2",Tableau16[G-1])</f>
        <v>0</v>
      </c>
      <c r="R328" s="148">
        <f>SUMIF(Tableau16[CDS],"PS-2",Tableau16[G-2])</f>
        <v>0</v>
      </c>
      <c r="S328" s="148">
        <f>SUMIF(Tableau16[CDS],"PS-2",Tableau16[G-3])</f>
        <v>0</v>
      </c>
      <c r="T328" s="148">
        <f>SUMIF(Tableau16[CDS],"PS-2",Tableau16[G-4])</f>
        <v>0</v>
      </c>
      <c r="U328" s="148">
        <f>SUMIF(Tableau16[CDS],"PS-2",Tableau16[G-5])</f>
        <v>0</v>
      </c>
      <c r="V328" s="90"/>
      <c r="W328" s="75"/>
      <c r="X328" s="75"/>
      <c r="Y328" s="75"/>
      <c r="Z328" s="96" t="e">
        <f>SUM(Tableau16[[#This Row],[A-1]:[G-5]])</f>
        <v>#VALUE!</v>
      </c>
      <c r="AA328" s="96" t="e">
        <f>IF(AND(Z328&lt;0,Tableau16[[#This Row],[CDS]]=""),"Oui","Non")</f>
        <v>#VALUE!</v>
      </c>
      <c r="AB328" s="75"/>
      <c r="AC328" s="75"/>
      <c r="AD328" s="75"/>
      <c r="AE328" s="75"/>
      <c r="AF328" s="75"/>
      <c r="AG328" s="75"/>
      <c r="AH328" s="75"/>
      <c r="AI328" s="75"/>
      <c r="AJ328" s="81"/>
      <c r="AK328" s="75"/>
      <c r="AL328" s="75"/>
    </row>
    <row r="329" spans="1:38" ht="15.75" thickBot="1" x14ac:dyDescent="0.3">
      <c r="A329" s="75"/>
      <c r="B329" s="75"/>
      <c r="C329" s="35"/>
      <c r="D329" s="29"/>
      <c r="E329" s="59" t="s">
        <v>123</v>
      </c>
      <c r="F329" s="60"/>
      <c r="G329" s="88"/>
      <c r="H329" s="149">
        <f>SUMIF(Tableau16[CDS],"PS-4",Tableau16[A-1])</f>
        <v>0</v>
      </c>
      <c r="I329" s="149">
        <f>SUMIF(Tableau16[CDS],"PS-4",Tableau16[B-1])</f>
        <v>0</v>
      </c>
      <c r="J329" s="148">
        <f>SUMIF(Tableau16[CDS],"PS-4",Tableau16[B-2])</f>
        <v>0</v>
      </c>
      <c r="K329" s="149">
        <f>SUMIF(Tableau16[CDS],"PS-4",Tableau16[C-1])</f>
        <v>0</v>
      </c>
      <c r="L329" s="148">
        <f>SUMIF(Tableau16[CDS],"PS-4",Tableau16[C-2])</f>
        <v>0</v>
      </c>
      <c r="M329" s="148">
        <f>SUMIF(Tableau16[CDS],"PS-4",Tableau16[D-1])</f>
        <v>0</v>
      </c>
      <c r="N329" s="148">
        <f>SUMIF(Tableau16[CDS],"PS-4",Tableau16[D-2])</f>
        <v>0</v>
      </c>
      <c r="O329" s="149">
        <f>SUMIF(Tableau16[CDS],"PS-4",Tableau16[E-1])</f>
        <v>0</v>
      </c>
      <c r="P329" s="149">
        <f>SUMIF(Tableau16[CDS],"PS-4",Tableau16[E2])</f>
        <v>0</v>
      </c>
      <c r="Q329" s="148">
        <f>SUMIF(Tableau16[CDS],"PS-4",Tableau16[G-1])</f>
        <v>0</v>
      </c>
      <c r="R329" s="148">
        <f>SUMIF(Tableau16[CDS],"PS-4",Tableau16[G-2])</f>
        <v>0</v>
      </c>
      <c r="S329" s="148">
        <f>SUMIF(Tableau16[CDS],"PS-4",Tableau16[G-3])</f>
        <v>0</v>
      </c>
      <c r="T329" s="148">
        <f>SUMIF(Tableau16[CDS],"PS-4",Tableau16[G-4])</f>
        <v>0</v>
      </c>
      <c r="U329" s="149">
        <f>SUMIF(Tableau16[CDS],"PS-4",Tableau16[G-5])</f>
        <v>0</v>
      </c>
      <c r="V329" s="91"/>
      <c r="W329" s="75"/>
      <c r="X329" s="75"/>
      <c r="Y329" s="75"/>
      <c r="Z329" s="96" t="e">
        <f>SUM(Tableau16[[#This Row],[A-1]:[G-5]])</f>
        <v>#VALUE!</v>
      </c>
      <c r="AA329" s="96" t="e">
        <f>IF(AND(Z329&lt;0,Tableau16[[#This Row],[CDS]]=""),"Oui","Non")</f>
        <v>#VALUE!</v>
      </c>
      <c r="AB329" s="75"/>
      <c r="AC329" s="75"/>
      <c r="AD329" s="75"/>
      <c r="AE329" s="75"/>
      <c r="AF329" s="75"/>
      <c r="AG329" s="75"/>
      <c r="AH329" s="75"/>
      <c r="AI329" s="75"/>
      <c r="AJ329" s="81"/>
      <c r="AK329" s="75"/>
      <c r="AL329" s="75"/>
    </row>
    <row r="330" spans="1:38" x14ac:dyDescent="0.25">
      <c r="A330" s="75"/>
      <c r="B330" s="75"/>
      <c r="C330" s="35"/>
      <c r="D330" s="31"/>
      <c r="E330" s="61" t="s">
        <v>16</v>
      </c>
      <c r="F330" s="62"/>
      <c r="G330" s="89"/>
      <c r="H330" s="63">
        <f t="shared" ref="H330:U330" si="10">SUM(H326:H329)</f>
        <v>0</v>
      </c>
      <c r="I330" s="63">
        <f t="shared" si="10"/>
        <v>0</v>
      </c>
      <c r="J330" s="63">
        <f>SUM(J326:J329)</f>
        <v>0</v>
      </c>
      <c r="K330" s="63">
        <f t="shared" si="10"/>
        <v>0</v>
      </c>
      <c r="L330" s="63">
        <f t="shared" si="10"/>
        <v>0</v>
      </c>
      <c r="M330" s="63">
        <f t="shared" si="10"/>
        <v>0</v>
      </c>
      <c r="N330" s="63">
        <f t="shared" si="10"/>
        <v>0</v>
      </c>
      <c r="O330" s="63">
        <f t="shared" si="10"/>
        <v>0</v>
      </c>
      <c r="P330" s="63">
        <f t="shared" si="10"/>
        <v>0</v>
      </c>
      <c r="Q330" s="63">
        <f t="shared" si="10"/>
        <v>0</v>
      </c>
      <c r="R330" s="63">
        <f t="shared" si="10"/>
        <v>0</v>
      </c>
      <c r="S330" s="63">
        <f t="shared" si="10"/>
        <v>0</v>
      </c>
      <c r="T330" s="63">
        <f t="shared" si="10"/>
        <v>0</v>
      </c>
      <c r="U330" s="63">
        <f t="shared" si="10"/>
        <v>0</v>
      </c>
      <c r="V330" s="92"/>
      <c r="W330" s="75"/>
      <c r="X330" s="75"/>
      <c r="Y330" s="75"/>
      <c r="Z330" s="96"/>
      <c r="AA330" s="96"/>
      <c r="AB330" s="75"/>
      <c r="AC330" s="75"/>
      <c r="AD330" s="75"/>
      <c r="AE330" s="75"/>
      <c r="AF330" s="75"/>
      <c r="AG330" s="75"/>
      <c r="AH330" s="75"/>
      <c r="AI330" s="75"/>
      <c r="AJ330" s="81"/>
      <c r="AK330" s="75"/>
      <c r="AL330" s="75"/>
    </row>
    <row r="331" spans="1:38" x14ac:dyDescent="0.25">
      <c r="A331" s="75"/>
      <c r="B331" s="75"/>
      <c r="C331" s="36"/>
      <c r="D331" s="37"/>
      <c r="E331" s="58" t="s">
        <v>17</v>
      </c>
      <c r="F331" s="54"/>
      <c r="G331" s="87"/>
      <c r="H331" s="55">
        <f>H5-H330</f>
        <v>10</v>
      </c>
      <c r="I331" s="186">
        <f>I5-J330</f>
        <v>10</v>
      </c>
      <c r="J331" s="187"/>
      <c r="K331" s="186">
        <f>K5-L330</f>
        <v>10</v>
      </c>
      <c r="L331" s="187"/>
      <c r="M331" s="55">
        <f>M5-M330</f>
        <v>10</v>
      </c>
      <c r="N331" s="55">
        <f>M5-N330</f>
        <v>10</v>
      </c>
      <c r="O331" s="186">
        <f>O5-(O330+P330)</f>
        <v>10</v>
      </c>
      <c r="P331" s="187"/>
      <c r="Q331" s="186">
        <f>Q5-SUM(Q330:U330)</f>
        <v>10</v>
      </c>
      <c r="R331" s="190"/>
      <c r="S331" s="190"/>
      <c r="T331" s="190"/>
      <c r="U331" s="187"/>
      <c r="V331" s="90"/>
      <c r="W331" s="75"/>
      <c r="X331" s="75"/>
      <c r="Y331" s="75"/>
      <c r="Z331" s="96"/>
      <c r="AA331" s="96"/>
      <c r="AB331" s="75"/>
      <c r="AC331" s="75"/>
      <c r="AD331" s="75"/>
      <c r="AE331" s="75"/>
      <c r="AF331" s="75"/>
      <c r="AG331" s="75"/>
      <c r="AH331" s="75"/>
      <c r="AI331" s="75"/>
      <c r="AJ331" s="81"/>
      <c r="AK331" s="75"/>
      <c r="AL331" s="75"/>
    </row>
    <row r="332" spans="1:38" ht="30" x14ac:dyDescent="0.25">
      <c r="A332" s="75"/>
      <c r="B332" s="75"/>
      <c r="C332" s="27"/>
      <c r="D332" s="27"/>
      <c r="E332" s="143" t="s">
        <v>86</v>
      </c>
      <c r="F332" s="53"/>
      <c r="G332" s="87"/>
      <c r="H332" s="56">
        <f ca="1">H330/((H5/365)*Données!$B$3)</f>
        <v>0</v>
      </c>
      <c r="I332" s="188">
        <f ca="1">J330/((I5/365)*Données!$B$3)</f>
        <v>0</v>
      </c>
      <c r="J332" s="189"/>
      <c r="K332" s="188">
        <f ca="1">L330/((K5/365)*Données!$B$3)</f>
        <v>0</v>
      </c>
      <c r="L332" s="189"/>
      <c r="M332" s="56">
        <f ca="1">M330/((M5/365)*Données!$B$3)</f>
        <v>0</v>
      </c>
      <c r="N332" s="56">
        <f ca="1">N330/((N5/365)*Données!$B$3)</f>
        <v>0</v>
      </c>
      <c r="O332" s="188">
        <f ca="1">(O330+P330)/((O5/365)*Données!$B$3)</f>
        <v>0</v>
      </c>
      <c r="P332" s="189"/>
      <c r="Q332" s="188">
        <f ca="1">SUM(Q330:U330)/((Q5/365)*Données!$B$3)</f>
        <v>0</v>
      </c>
      <c r="R332" s="191"/>
      <c r="S332" s="191"/>
      <c r="T332" s="191"/>
      <c r="U332" s="189"/>
      <c r="V332" s="93"/>
      <c r="W332" s="75"/>
      <c r="X332" s="75"/>
      <c r="Y332" s="75"/>
      <c r="Z332" s="96"/>
      <c r="AA332" s="96"/>
      <c r="AB332" s="75"/>
      <c r="AC332" s="75"/>
      <c r="AD332" s="75"/>
      <c r="AE332" s="75"/>
      <c r="AF332" s="75"/>
      <c r="AG332" s="75"/>
      <c r="AH332" s="75"/>
      <c r="AI332" s="75"/>
      <c r="AJ332" s="81"/>
      <c r="AK332" s="75"/>
      <c r="AL332" s="75"/>
    </row>
    <row r="333" spans="1:38" ht="30" x14ac:dyDescent="0.25">
      <c r="A333" s="75"/>
      <c r="B333" s="75"/>
      <c r="C333" s="27"/>
      <c r="D333" s="27"/>
      <c r="E333" s="143" t="s">
        <v>87</v>
      </c>
      <c r="F333" s="53"/>
      <c r="G333" s="87"/>
      <c r="H333" s="56">
        <f>H330/H5</f>
        <v>0</v>
      </c>
      <c r="I333" s="188">
        <f>J330/I5</f>
        <v>0</v>
      </c>
      <c r="J333" s="189"/>
      <c r="K333" s="188">
        <f>L330/K5</f>
        <v>0</v>
      </c>
      <c r="L333" s="189"/>
      <c r="M333" s="56">
        <f>M330/M5</f>
        <v>0</v>
      </c>
      <c r="N333" s="56">
        <f>N330/M5</f>
        <v>0</v>
      </c>
      <c r="O333" s="188">
        <f>(O330+P330)/O5</f>
        <v>0</v>
      </c>
      <c r="P333" s="189"/>
      <c r="Q333" s="188">
        <f>SUM(Q330:U330)/Q5</f>
        <v>0</v>
      </c>
      <c r="R333" s="191"/>
      <c r="S333" s="191"/>
      <c r="T333" s="191"/>
      <c r="U333" s="189"/>
      <c r="V333" s="93"/>
      <c r="W333" s="75"/>
      <c r="X333" s="75"/>
      <c r="Y333" s="75"/>
      <c r="Z333" s="96"/>
      <c r="AA333" s="96"/>
      <c r="AB333" s="75"/>
      <c r="AC333" s="75"/>
      <c r="AD333" s="75"/>
      <c r="AE333" s="75"/>
      <c r="AF333" s="75"/>
      <c r="AG333" s="75"/>
      <c r="AH333" s="75"/>
      <c r="AI333" s="75"/>
      <c r="AJ333" s="81"/>
      <c r="AK333" s="75"/>
      <c r="AL333" s="75"/>
    </row>
    <row r="334" spans="1:38" s="49" customFormat="1" x14ac:dyDescent="0.25">
      <c r="A334" s="80"/>
      <c r="B334" s="82"/>
      <c r="C334" s="83"/>
      <c r="D334" s="83"/>
      <c r="E334" s="83"/>
      <c r="F334" s="80"/>
      <c r="G334" s="80"/>
      <c r="H334" s="80"/>
      <c r="I334" s="80"/>
      <c r="J334" s="80"/>
      <c r="K334" s="80"/>
      <c r="L334" s="80"/>
      <c r="M334" s="80"/>
      <c r="N334" s="80"/>
      <c r="O334" s="80"/>
      <c r="P334" s="80"/>
      <c r="Q334" s="80"/>
      <c r="R334" s="80"/>
      <c r="S334" s="80"/>
      <c r="T334" s="80"/>
      <c r="U334" s="80"/>
      <c r="V334" s="84"/>
      <c r="W334" s="80"/>
      <c r="X334" s="80"/>
      <c r="Y334" s="80"/>
      <c r="Z334" s="98"/>
      <c r="AA334" s="98"/>
      <c r="AB334" s="80"/>
      <c r="AC334" s="80"/>
      <c r="AD334" s="80"/>
      <c r="AE334" s="80"/>
      <c r="AF334" s="80"/>
      <c r="AG334" s="80"/>
      <c r="AH334" s="80"/>
      <c r="AI334" s="80"/>
      <c r="AJ334" s="95"/>
      <c r="AK334" s="80"/>
      <c r="AL334" s="80"/>
    </row>
    <row r="335" spans="1:38" s="48" customFormat="1" x14ac:dyDescent="0.25">
      <c r="A335" s="75"/>
      <c r="B335" s="82"/>
      <c r="C335" s="76"/>
      <c r="D335" s="76"/>
      <c r="E335" s="75"/>
      <c r="F335" s="75"/>
      <c r="G335" s="75"/>
      <c r="H335" s="75"/>
      <c r="I335" s="75"/>
      <c r="J335" s="75"/>
      <c r="K335" s="75"/>
      <c r="L335" s="75"/>
      <c r="M335" s="75"/>
      <c r="N335" s="75"/>
      <c r="O335" s="75"/>
      <c r="P335" s="75"/>
      <c r="Q335" s="75"/>
      <c r="R335" s="75"/>
      <c r="S335" s="75"/>
      <c r="T335" s="75"/>
      <c r="U335" s="75"/>
      <c r="V335" s="77"/>
      <c r="W335" s="75"/>
      <c r="X335" s="75"/>
      <c r="Y335" s="75"/>
      <c r="Z335" s="96"/>
      <c r="AA335" s="96"/>
      <c r="AB335" s="75"/>
      <c r="AC335" s="75"/>
      <c r="AD335" s="75"/>
      <c r="AE335" s="75"/>
      <c r="AF335" s="75"/>
      <c r="AG335" s="75"/>
      <c r="AH335" s="75"/>
      <c r="AI335" s="75"/>
      <c r="AJ335" s="81"/>
      <c r="AK335" s="75"/>
      <c r="AL335" s="75"/>
    </row>
    <row r="336" spans="1:38" s="48" customFormat="1" x14ac:dyDescent="0.25">
      <c r="A336" s="75"/>
      <c r="B336" s="82"/>
      <c r="C336" s="76"/>
      <c r="D336" s="76"/>
      <c r="E336" s="75"/>
      <c r="F336" s="75"/>
      <c r="G336" s="75"/>
      <c r="H336" s="75"/>
      <c r="I336" s="75"/>
      <c r="J336" s="75"/>
      <c r="K336" s="75"/>
      <c r="L336" s="75"/>
      <c r="M336" s="75"/>
      <c r="N336" s="75"/>
      <c r="O336" s="75"/>
      <c r="P336" s="75"/>
      <c r="Q336" s="75"/>
      <c r="R336" s="75"/>
      <c r="S336" s="75"/>
      <c r="T336" s="75"/>
      <c r="U336" s="75"/>
      <c r="V336" s="77"/>
      <c r="W336" s="75"/>
      <c r="X336" s="75"/>
      <c r="Y336" s="75"/>
      <c r="Z336" s="96"/>
      <c r="AA336" s="96"/>
      <c r="AB336" s="75"/>
      <c r="AC336" s="75"/>
      <c r="AD336" s="75"/>
      <c r="AE336" s="75"/>
      <c r="AF336" s="75"/>
      <c r="AG336" s="75"/>
      <c r="AH336" s="75"/>
      <c r="AI336" s="75"/>
      <c r="AJ336" s="81"/>
      <c r="AK336" s="75"/>
      <c r="AL336" s="75"/>
    </row>
    <row r="337" spans="1:38" s="48" customFormat="1" x14ac:dyDescent="0.25">
      <c r="A337" s="75"/>
      <c r="B337" s="82"/>
      <c r="C337" s="76"/>
      <c r="D337" s="76"/>
      <c r="E337" s="75"/>
      <c r="F337" s="75"/>
      <c r="G337" s="75"/>
      <c r="H337" s="75"/>
      <c r="I337" s="75"/>
      <c r="J337" s="75"/>
      <c r="K337" s="75"/>
      <c r="L337" s="75"/>
      <c r="M337" s="75"/>
      <c r="N337" s="75"/>
      <c r="O337" s="75"/>
      <c r="P337" s="75"/>
      <c r="Q337" s="75"/>
      <c r="R337" s="75"/>
      <c r="S337" s="75"/>
      <c r="T337" s="75"/>
      <c r="U337" s="75"/>
      <c r="V337" s="77"/>
      <c r="W337" s="75"/>
      <c r="X337" s="75"/>
      <c r="Y337" s="75"/>
      <c r="Z337" s="96"/>
      <c r="AA337" s="96"/>
      <c r="AB337" s="75"/>
      <c r="AC337" s="75"/>
      <c r="AD337" s="75"/>
      <c r="AE337" s="75"/>
      <c r="AF337" s="75"/>
      <c r="AG337" s="75"/>
      <c r="AH337" s="75"/>
      <c r="AI337" s="75"/>
      <c r="AJ337" s="81"/>
      <c r="AK337" s="75"/>
      <c r="AL337" s="75"/>
    </row>
    <row r="338" spans="1:38" s="48" customFormat="1" x14ac:dyDescent="0.25">
      <c r="A338" s="75"/>
      <c r="B338" s="82"/>
      <c r="C338" s="76"/>
      <c r="D338" s="76"/>
      <c r="E338" s="75"/>
      <c r="F338" s="75"/>
      <c r="G338" s="75"/>
      <c r="H338" s="75"/>
      <c r="I338" s="75"/>
      <c r="J338" s="75"/>
      <c r="K338" s="75"/>
      <c r="L338" s="75"/>
      <c r="M338" s="75"/>
      <c r="N338" s="75"/>
      <c r="O338" s="75"/>
      <c r="P338" s="75"/>
      <c r="Q338" s="75"/>
      <c r="R338" s="75"/>
      <c r="S338" s="75"/>
      <c r="T338" s="75"/>
      <c r="U338" s="75"/>
      <c r="V338" s="77"/>
      <c r="W338" s="75"/>
      <c r="X338" s="75"/>
      <c r="Y338" s="75"/>
      <c r="Z338" s="96"/>
      <c r="AA338" s="96"/>
      <c r="AB338" s="75"/>
      <c r="AC338" s="75"/>
      <c r="AD338" s="75"/>
      <c r="AE338" s="75"/>
      <c r="AF338" s="75"/>
      <c r="AG338" s="75"/>
      <c r="AH338" s="75"/>
      <c r="AI338" s="75"/>
      <c r="AJ338" s="81"/>
      <c r="AK338" s="75"/>
      <c r="AL338" s="75"/>
    </row>
    <row r="339" spans="1:38" s="48" customFormat="1" x14ac:dyDescent="0.25">
      <c r="A339" s="75"/>
      <c r="B339" s="82"/>
      <c r="C339" s="85"/>
      <c r="D339" s="85"/>
      <c r="E339" s="75"/>
      <c r="F339" s="75"/>
      <c r="G339" s="75"/>
      <c r="H339" s="75"/>
      <c r="I339" s="75"/>
      <c r="J339" s="75"/>
      <c r="K339" s="75"/>
      <c r="L339" s="75"/>
      <c r="M339" s="75"/>
      <c r="N339" s="75"/>
      <c r="O339" s="75"/>
      <c r="P339" s="75"/>
      <c r="Q339" s="75"/>
      <c r="R339" s="75"/>
      <c r="S339" s="75"/>
      <c r="T339" s="75"/>
      <c r="U339" s="75"/>
      <c r="V339" s="77"/>
      <c r="W339" s="75"/>
      <c r="X339" s="75"/>
      <c r="Y339" s="75"/>
      <c r="Z339" s="78"/>
      <c r="AA339" s="78"/>
      <c r="AB339" s="75"/>
      <c r="AC339" s="75"/>
      <c r="AD339" s="75"/>
      <c r="AE339" s="75"/>
      <c r="AF339" s="75"/>
      <c r="AG339" s="75"/>
      <c r="AH339" s="75"/>
      <c r="AI339" s="75"/>
      <c r="AJ339" s="81"/>
      <c r="AK339" s="75"/>
      <c r="AL339" s="75"/>
    </row>
    <row r="340" spans="1:38" s="48" customFormat="1" x14ac:dyDescent="0.25">
      <c r="A340" s="75"/>
      <c r="B340" s="82"/>
      <c r="C340" s="76"/>
      <c r="D340" s="76"/>
      <c r="E340" s="75"/>
      <c r="F340" s="75"/>
      <c r="G340" s="75"/>
      <c r="H340" s="75"/>
      <c r="I340" s="75"/>
      <c r="J340" s="75"/>
      <c r="K340" s="75"/>
      <c r="L340" s="75"/>
      <c r="M340" s="75"/>
      <c r="N340" s="75"/>
      <c r="O340" s="75"/>
      <c r="P340" s="75"/>
      <c r="Q340" s="75"/>
      <c r="R340" s="75"/>
      <c r="S340" s="75"/>
      <c r="T340" s="75"/>
      <c r="U340" s="75"/>
      <c r="V340" s="77"/>
      <c r="W340" s="75"/>
      <c r="X340" s="75"/>
      <c r="Y340" s="75"/>
      <c r="Z340" s="78"/>
      <c r="AA340" s="78"/>
      <c r="AB340" s="75"/>
      <c r="AC340" s="75"/>
      <c r="AD340" s="75"/>
      <c r="AE340" s="75"/>
      <c r="AF340" s="75"/>
      <c r="AG340" s="75"/>
      <c r="AH340" s="75"/>
      <c r="AI340" s="75"/>
      <c r="AJ340" s="81"/>
      <c r="AK340" s="75"/>
      <c r="AL340" s="75"/>
    </row>
    <row r="341" spans="1:38" s="69" customFormat="1" x14ac:dyDescent="0.25">
      <c r="A341" s="75"/>
      <c r="B341" s="75"/>
      <c r="C341" s="76"/>
      <c r="D341" s="76"/>
      <c r="E341" s="75"/>
      <c r="F341" s="75"/>
      <c r="G341" s="75"/>
      <c r="H341" s="75"/>
      <c r="I341" s="75"/>
      <c r="J341" s="75"/>
      <c r="K341" s="75"/>
      <c r="L341" s="75"/>
      <c r="M341" s="75"/>
      <c r="N341" s="75"/>
      <c r="O341" s="75"/>
      <c r="P341" s="75"/>
      <c r="Q341" s="75"/>
      <c r="R341" s="75"/>
      <c r="S341" s="75"/>
      <c r="T341" s="75"/>
      <c r="U341" s="75"/>
      <c r="V341" s="77"/>
      <c r="W341" s="75"/>
      <c r="X341" s="75"/>
      <c r="Y341" s="75"/>
      <c r="Z341" s="78"/>
      <c r="AA341" s="78"/>
      <c r="AB341" s="75"/>
      <c r="AC341" s="75"/>
      <c r="AD341" s="75"/>
      <c r="AE341" s="75"/>
      <c r="AF341" s="75"/>
      <c r="AG341" s="75"/>
      <c r="AH341" s="75"/>
      <c r="AI341" s="75"/>
      <c r="AJ341" s="81"/>
      <c r="AK341" s="75"/>
      <c r="AL341" s="75"/>
    </row>
    <row r="342" spans="1:38" s="69" customFormat="1" x14ac:dyDescent="0.25">
      <c r="A342" s="75"/>
      <c r="B342" s="75"/>
      <c r="C342" s="76"/>
      <c r="D342" s="76"/>
      <c r="E342" s="75"/>
      <c r="F342" s="75"/>
      <c r="G342" s="75"/>
      <c r="H342" s="75"/>
      <c r="I342" s="75"/>
      <c r="J342" s="75"/>
      <c r="K342" s="75"/>
      <c r="L342" s="75"/>
      <c r="M342" s="75"/>
      <c r="N342" s="75"/>
      <c r="O342" s="75"/>
      <c r="P342" s="75"/>
      <c r="Q342" s="75"/>
      <c r="R342" s="75"/>
      <c r="S342" s="75"/>
      <c r="T342" s="75"/>
      <c r="U342" s="75"/>
      <c r="V342" s="77"/>
      <c r="W342" s="75"/>
      <c r="X342" s="75"/>
      <c r="Y342" s="75"/>
      <c r="Z342" s="78"/>
      <c r="AA342" s="78"/>
      <c r="AB342" s="75"/>
      <c r="AC342" s="75"/>
      <c r="AD342" s="75"/>
      <c r="AE342" s="75"/>
      <c r="AF342" s="75"/>
      <c r="AG342" s="75"/>
      <c r="AH342" s="75"/>
      <c r="AI342" s="75"/>
      <c r="AJ342" s="81"/>
      <c r="AK342" s="75"/>
      <c r="AL342" s="75"/>
    </row>
    <row r="343" spans="1:38" s="69" customFormat="1" x14ac:dyDescent="0.25">
      <c r="A343" s="75"/>
      <c r="B343" s="75"/>
      <c r="C343" s="76"/>
      <c r="D343" s="76"/>
      <c r="E343" s="75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7"/>
      <c r="W343" s="75"/>
      <c r="X343" s="75"/>
      <c r="Y343" s="75"/>
      <c r="Z343" s="78"/>
      <c r="AA343" s="78"/>
      <c r="AB343" s="75"/>
      <c r="AC343" s="75"/>
      <c r="AD343" s="75"/>
      <c r="AE343" s="75"/>
      <c r="AF343" s="75"/>
      <c r="AG343" s="75"/>
      <c r="AH343" s="75"/>
      <c r="AI343" s="75"/>
      <c r="AJ343" s="81"/>
      <c r="AK343" s="75"/>
      <c r="AL343" s="75"/>
    </row>
    <row r="344" spans="1:38" s="69" customFormat="1" x14ac:dyDescent="0.25">
      <c r="A344" s="75"/>
      <c r="B344" s="75"/>
      <c r="C344" s="76"/>
      <c r="D344" s="76"/>
      <c r="E344" s="75"/>
      <c r="F344" s="75"/>
      <c r="G344" s="75"/>
      <c r="H344" s="75"/>
      <c r="I344" s="75"/>
      <c r="J344" s="75"/>
      <c r="K344" s="75"/>
      <c r="L344" s="75"/>
      <c r="M344" s="75"/>
      <c r="N344" s="75"/>
      <c r="O344" s="75"/>
      <c r="P344" s="75"/>
      <c r="Q344" s="75"/>
      <c r="R344" s="75"/>
      <c r="S344" s="75"/>
      <c r="T344" s="75"/>
      <c r="U344" s="75"/>
      <c r="V344" s="77"/>
      <c r="W344" s="75"/>
      <c r="X344" s="75"/>
      <c r="Y344" s="75"/>
      <c r="Z344" s="78"/>
      <c r="AA344" s="78"/>
      <c r="AB344" s="75"/>
      <c r="AC344" s="75"/>
      <c r="AD344" s="75"/>
      <c r="AE344" s="75"/>
      <c r="AF344" s="75"/>
      <c r="AG344" s="75"/>
      <c r="AH344" s="75"/>
      <c r="AI344" s="75"/>
      <c r="AJ344" s="81"/>
      <c r="AK344" s="75"/>
      <c r="AL344" s="75"/>
    </row>
    <row r="345" spans="1:38" s="69" customFormat="1" x14ac:dyDescent="0.25">
      <c r="A345" s="75"/>
      <c r="B345" s="75"/>
      <c r="C345" s="76"/>
      <c r="D345" s="76"/>
      <c r="E345" s="75"/>
      <c r="F345" s="75"/>
      <c r="G345" s="75"/>
      <c r="H345" s="75"/>
      <c r="I345" s="75"/>
      <c r="J345" s="75"/>
      <c r="K345" s="75"/>
      <c r="L345" s="75"/>
      <c r="M345" s="75"/>
      <c r="N345" s="75"/>
      <c r="O345" s="75"/>
      <c r="P345" s="75"/>
      <c r="Q345" s="75"/>
      <c r="R345" s="75"/>
      <c r="S345" s="75"/>
      <c r="T345" s="75"/>
      <c r="U345" s="75"/>
      <c r="V345" s="77"/>
      <c r="W345" s="75"/>
      <c r="X345" s="75"/>
      <c r="Y345" s="75"/>
      <c r="Z345" s="78"/>
      <c r="AA345" s="78"/>
      <c r="AB345" s="75"/>
      <c r="AC345" s="75"/>
      <c r="AD345" s="75"/>
      <c r="AE345" s="75"/>
      <c r="AF345" s="75"/>
      <c r="AG345" s="75"/>
      <c r="AH345" s="75"/>
      <c r="AI345" s="75"/>
      <c r="AJ345" s="81"/>
      <c r="AK345" s="75"/>
      <c r="AL345" s="75"/>
    </row>
    <row r="346" spans="1:38" s="69" customFormat="1" x14ac:dyDescent="0.25">
      <c r="A346" s="75"/>
      <c r="B346" s="75"/>
      <c r="C346" s="76"/>
      <c r="D346" s="76"/>
      <c r="E346" s="75"/>
      <c r="F346" s="75"/>
      <c r="G346" s="75"/>
      <c r="H346" s="75"/>
      <c r="I346" s="75"/>
      <c r="J346" s="75"/>
      <c r="K346" s="75"/>
      <c r="L346" s="75"/>
      <c r="M346" s="75"/>
      <c r="N346" s="75"/>
      <c r="O346" s="75"/>
      <c r="P346" s="75"/>
      <c r="Q346" s="75"/>
      <c r="R346" s="75"/>
      <c r="S346" s="75"/>
      <c r="T346" s="75"/>
      <c r="U346" s="75"/>
      <c r="V346" s="77"/>
      <c r="W346" s="75"/>
      <c r="X346" s="75"/>
      <c r="Y346" s="75"/>
      <c r="Z346" s="78"/>
      <c r="AA346" s="78"/>
      <c r="AB346" s="75"/>
      <c r="AC346" s="75"/>
      <c r="AD346" s="75"/>
      <c r="AE346" s="75"/>
      <c r="AF346" s="75"/>
      <c r="AG346" s="75"/>
      <c r="AH346" s="75"/>
      <c r="AI346" s="75"/>
      <c r="AJ346" s="81"/>
      <c r="AK346" s="75"/>
      <c r="AL346" s="75"/>
    </row>
    <row r="347" spans="1:38" s="69" customFormat="1" x14ac:dyDescent="0.25">
      <c r="A347" s="75"/>
      <c r="B347" s="75"/>
      <c r="C347" s="76"/>
      <c r="D347" s="76"/>
      <c r="E347" s="75"/>
      <c r="F347" s="75"/>
      <c r="G347" s="75"/>
      <c r="H347" s="75"/>
      <c r="I347" s="75"/>
      <c r="J347" s="75"/>
      <c r="K347" s="75"/>
      <c r="L347" s="75"/>
      <c r="M347" s="75"/>
      <c r="N347" s="75"/>
      <c r="O347" s="75"/>
      <c r="P347" s="75"/>
      <c r="Q347" s="75"/>
      <c r="R347" s="75"/>
      <c r="S347" s="75"/>
      <c r="T347" s="75"/>
      <c r="U347" s="75"/>
      <c r="V347" s="77"/>
      <c r="W347" s="75"/>
      <c r="X347" s="75"/>
      <c r="Y347" s="75"/>
      <c r="Z347" s="78"/>
      <c r="AA347" s="78"/>
      <c r="AB347" s="75"/>
      <c r="AC347" s="75"/>
      <c r="AD347" s="75"/>
      <c r="AE347" s="75"/>
      <c r="AF347" s="75"/>
      <c r="AG347" s="75"/>
      <c r="AH347" s="75"/>
      <c r="AI347" s="75"/>
      <c r="AJ347" s="81"/>
      <c r="AK347" s="75"/>
      <c r="AL347" s="75"/>
    </row>
    <row r="348" spans="1:38" s="69" customFormat="1" x14ac:dyDescent="0.25">
      <c r="A348" s="75"/>
      <c r="B348" s="75"/>
      <c r="C348" s="76"/>
      <c r="D348" s="76"/>
      <c r="E348" s="75"/>
      <c r="F348" s="75"/>
      <c r="G348" s="75"/>
      <c r="H348" s="75"/>
      <c r="I348" s="75"/>
      <c r="J348" s="75"/>
      <c r="K348" s="75"/>
      <c r="L348" s="75"/>
      <c r="M348" s="75"/>
      <c r="N348" s="75"/>
      <c r="O348" s="75"/>
      <c r="P348" s="75"/>
      <c r="Q348" s="75"/>
      <c r="R348" s="75"/>
      <c r="S348" s="75"/>
      <c r="T348" s="75"/>
      <c r="U348" s="75"/>
      <c r="V348" s="77"/>
      <c r="W348" s="75"/>
      <c r="X348" s="75"/>
      <c r="Y348" s="75"/>
      <c r="Z348" s="78"/>
      <c r="AA348" s="78"/>
      <c r="AB348" s="75"/>
      <c r="AC348" s="75"/>
      <c r="AD348" s="75"/>
      <c r="AE348" s="75"/>
      <c r="AF348" s="75"/>
      <c r="AG348" s="75"/>
      <c r="AH348" s="75"/>
      <c r="AI348" s="75"/>
      <c r="AJ348" s="81"/>
      <c r="AK348" s="75"/>
      <c r="AL348" s="75"/>
    </row>
    <row r="349" spans="1:38" s="69" customFormat="1" x14ac:dyDescent="0.25">
      <c r="A349" s="75"/>
      <c r="B349" s="75"/>
      <c r="C349" s="76"/>
      <c r="D349" s="76"/>
      <c r="E349" s="75"/>
      <c r="F349" s="75"/>
      <c r="G349" s="75"/>
      <c r="H349" s="75"/>
      <c r="I349" s="75"/>
      <c r="J349" s="75"/>
      <c r="K349" s="75"/>
      <c r="L349" s="75"/>
      <c r="M349" s="75"/>
      <c r="N349" s="75"/>
      <c r="O349" s="75"/>
      <c r="P349" s="75"/>
      <c r="Q349" s="75"/>
      <c r="R349" s="75"/>
      <c r="S349" s="75"/>
      <c r="T349" s="75"/>
      <c r="U349" s="75"/>
      <c r="V349" s="77"/>
      <c r="W349" s="75"/>
      <c r="X349" s="75"/>
      <c r="Y349" s="75"/>
      <c r="Z349" s="78"/>
      <c r="AA349" s="78"/>
      <c r="AB349" s="75"/>
      <c r="AC349" s="75"/>
      <c r="AD349" s="75"/>
      <c r="AE349" s="75"/>
      <c r="AF349" s="75"/>
      <c r="AG349" s="75"/>
      <c r="AH349" s="75"/>
      <c r="AI349" s="75"/>
      <c r="AJ349" s="81"/>
      <c r="AK349" s="75"/>
      <c r="AL349" s="75"/>
    </row>
    <row r="350" spans="1:38" s="69" customFormat="1" x14ac:dyDescent="0.25">
      <c r="A350" s="75"/>
      <c r="B350" s="75"/>
      <c r="C350" s="76"/>
      <c r="D350" s="76"/>
      <c r="E350" s="75"/>
      <c r="F350" s="75"/>
      <c r="G350" s="75"/>
      <c r="H350" s="75"/>
      <c r="I350" s="75"/>
      <c r="J350" s="75"/>
      <c r="K350" s="75"/>
      <c r="L350" s="75"/>
      <c r="M350" s="75"/>
      <c r="N350" s="75"/>
      <c r="O350" s="75"/>
      <c r="P350" s="75"/>
      <c r="Q350" s="75"/>
      <c r="R350" s="75"/>
      <c r="S350" s="75"/>
      <c r="T350" s="75"/>
      <c r="U350" s="75"/>
      <c r="V350" s="77"/>
      <c r="W350" s="75"/>
      <c r="X350" s="75"/>
      <c r="Y350" s="75"/>
      <c r="Z350" s="78"/>
      <c r="AA350" s="78"/>
      <c r="AB350" s="75"/>
      <c r="AC350" s="75"/>
      <c r="AD350" s="75"/>
      <c r="AE350" s="75"/>
      <c r="AF350" s="75"/>
      <c r="AG350" s="75"/>
      <c r="AH350" s="75"/>
      <c r="AI350" s="75"/>
      <c r="AJ350" s="81"/>
      <c r="AK350" s="75"/>
      <c r="AL350" s="75"/>
    </row>
    <row r="351" spans="1:38" s="69" customFormat="1" x14ac:dyDescent="0.25">
      <c r="A351" s="75"/>
      <c r="B351" s="75"/>
      <c r="C351" s="76"/>
      <c r="D351" s="76"/>
      <c r="E351" s="75"/>
      <c r="F351" s="75"/>
      <c r="G351" s="75"/>
      <c r="H351" s="75"/>
      <c r="I351" s="75"/>
      <c r="J351" s="75"/>
      <c r="K351" s="75"/>
      <c r="L351" s="75"/>
      <c r="M351" s="75"/>
      <c r="N351" s="75"/>
      <c r="O351" s="75"/>
      <c r="P351" s="75"/>
      <c r="Q351" s="75"/>
      <c r="R351" s="75"/>
      <c r="S351" s="75"/>
      <c r="T351" s="75"/>
      <c r="U351" s="75"/>
      <c r="V351" s="77"/>
      <c r="W351" s="75"/>
      <c r="X351" s="75"/>
      <c r="Y351" s="75"/>
      <c r="Z351" s="78"/>
      <c r="AA351" s="78"/>
      <c r="AB351" s="75"/>
      <c r="AC351" s="75"/>
      <c r="AD351" s="75"/>
      <c r="AE351" s="75"/>
      <c r="AF351" s="75"/>
      <c r="AG351" s="75"/>
      <c r="AH351" s="75"/>
      <c r="AI351" s="75"/>
      <c r="AJ351" s="81"/>
      <c r="AK351" s="75"/>
      <c r="AL351" s="75"/>
    </row>
    <row r="352" spans="1:38" s="69" customFormat="1" x14ac:dyDescent="0.25">
      <c r="A352" s="75"/>
      <c r="B352" s="75"/>
      <c r="C352" s="76"/>
      <c r="D352" s="76"/>
      <c r="E352" s="75"/>
      <c r="F352" s="75"/>
      <c r="G352" s="75"/>
      <c r="H352" s="75"/>
      <c r="I352" s="75"/>
      <c r="J352" s="75"/>
      <c r="K352" s="75"/>
      <c r="L352" s="75"/>
      <c r="M352" s="75"/>
      <c r="N352" s="75"/>
      <c r="O352" s="75"/>
      <c r="P352" s="75"/>
      <c r="Q352" s="75"/>
      <c r="R352" s="75"/>
      <c r="S352" s="75"/>
      <c r="T352" s="75"/>
      <c r="U352" s="75"/>
      <c r="V352" s="77"/>
      <c r="W352" s="75"/>
      <c r="X352" s="75"/>
      <c r="Y352" s="75"/>
      <c r="Z352" s="78"/>
      <c r="AA352" s="78"/>
      <c r="AB352" s="75"/>
      <c r="AC352" s="75"/>
      <c r="AD352" s="75"/>
      <c r="AE352" s="75"/>
      <c r="AF352" s="75"/>
      <c r="AG352" s="75"/>
      <c r="AH352" s="75"/>
      <c r="AI352" s="75"/>
      <c r="AJ352" s="81"/>
      <c r="AK352" s="75"/>
      <c r="AL352" s="75"/>
    </row>
    <row r="353" spans="1:38" s="69" customFormat="1" x14ac:dyDescent="0.25">
      <c r="A353" s="75"/>
      <c r="B353" s="75"/>
      <c r="C353" s="76"/>
      <c r="D353" s="76"/>
      <c r="E353" s="75"/>
      <c r="F353" s="75"/>
      <c r="G353" s="75"/>
      <c r="H353" s="75"/>
      <c r="I353" s="75"/>
      <c r="J353" s="75"/>
      <c r="K353" s="75"/>
      <c r="L353" s="75"/>
      <c r="M353" s="75"/>
      <c r="N353" s="75"/>
      <c r="O353" s="75"/>
      <c r="P353" s="75"/>
      <c r="Q353" s="75"/>
      <c r="R353" s="75"/>
      <c r="S353" s="75"/>
      <c r="T353" s="75"/>
      <c r="U353" s="75"/>
      <c r="V353" s="77"/>
      <c r="W353" s="75"/>
      <c r="X353" s="75"/>
      <c r="Y353" s="75"/>
      <c r="Z353" s="78"/>
      <c r="AA353" s="78"/>
      <c r="AB353" s="75"/>
      <c r="AC353" s="75"/>
      <c r="AD353" s="75"/>
      <c r="AE353" s="75"/>
      <c r="AF353" s="75"/>
      <c r="AG353" s="75"/>
      <c r="AH353" s="75"/>
      <c r="AI353" s="75"/>
      <c r="AJ353" s="81"/>
      <c r="AK353" s="75"/>
      <c r="AL353" s="75"/>
    </row>
    <row r="354" spans="1:38" s="69" customFormat="1" x14ac:dyDescent="0.25">
      <c r="A354" s="75"/>
      <c r="B354" s="75"/>
      <c r="C354" s="76"/>
      <c r="D354" s="76"/>
      <c r="E354" s="75"/>
      <c r="F354" s="75"/>
      <c r="G354" s="75"/>
      <c r="H354" s="75"/>
      <c r="I354" s="75"/>
      <c r="J354" s="75"/>
      <c r="K354" s="75"/>
      <c r="L354" s="75"/>
      <c r="M354" s="75"/>
      <c r="N354" s="75"/>
      <c r="O354" s="75"/>
      <c r="P354" s="75"/>
      <c r="Q354" s="75"/>
      <c r="R354" s="75"/>
      <c r="S354" s="75"/>
      <c r="T354" s="75"/>
      <c r="U354" s="75"/>
      <c r="V354" s="77"/>
      <c r="W354" s="75"/>
      <c r="X354" s="75"/>
      <c r="Y354" s="75"/>
      <c r="Z354" s="78"/>
      <c r="AA354" s="78"/>
      <c r="AB354" s="75"/>
      <c r="AC354" s="75"/>
      <c r="AD354" s="75"/>
      <c r="AE354" s="75"/>
      <c r="AF354" s="75"/>
      <c r="AG354" s="75"/>
      <c r="AH354" s="75"/>
      <c r="AI354" s="75"/>
      <c r="AJ354" s="81"/>
      <c r="AK354" s="75"/>
      <c r="AL354" s="75"/>
    </row>
    <row r="355" spans="1:38" s="69" customFormat="1" x14ac:dyDescent="0.25">
      <c r="A355" s="75"/>
      <c r="B355" s="75"/>
      <c r="C355" s="76"/>
      <c r="D355" s="76"/>
      <c r="E355" s="75"/>
      <c r="F355" s="75"/>
      <c r="G355" s="75"/>
      <c r="H355" s="75"/>
      <c r="I355" s="75"/>
      <c r="J355" s="75"/>
      <c r="K355" s="75"/>
      <c r="L355" s="75"/>
      <c r="M355" s="75"/>
      <c r="N355" s="75"/>
      <c r="O355" s="75"/>
      <c r="P355" s="75"/>
      <c r="Q355" s="75"/>
      <c r="R355" s="75"/>
      <c r="S355" s="75"/>
      <c r="T355" s="75"/>
      <c r="U355" s="75"/>
      <c r="V355" s="77"/>
      <c r="W355" s="75"/>
      <c r="X355" s="75"/>
      <c r="Y355" s="75"/>
      <c r="Z355" s="78"/>
      <c r="AA355" s="78"/>
      <c r="AB355" s="75"/>
      <c r="AC355" s="75"/>
      <c r="AD355" s="75"/>
      <c r="AE355" s="75"/>
      <c r="AF355" s="75"/>
      <c r="AG355" s="75"/>
      <c r="AH355" s="75"/>
      <c r="AI355" s="75"/>
      <c r="AJ355" s="81"/>
      <c r="AK355" s="75"/>
      <c r="AL355" s="75"/>
    </row>
    <row r="356" spans="1:38" s="69" customFormat="1" x14ac:dyDescent="0.25">
      <c r="A356" s="75"/>
      <c r="B356" s="75"/>
      <c r="C356" s="76"/>
      <c r="D356" s="76"/>
      <c r="E356" s="75"/>
      <c r="F356" s="75"/>
      <c r="G356" s="75"/>
      <c r="H356" s="75"/>
      <c r="I356" s="75"/>
      <c r="J356" s="75"/>
      <c r="K356" s="75"/>
      <c r="L356" s="75"/>
      <c r="M356" s="75"/>
      <c r="N356" s="75"/>
      <c r="O356" s="75"/>
      <c r="P356" s="75"/>
      <c r="Q356" s="75"/>
      <c r="R356" s="75"/>
      <c r="S356" s="75"/>
      <c r="T356" s="75"/>
      <c r="U356" s="75"/>
      <c r="V356" s="77"/>
      <c r="W356" s="75"/>
      <c r="X356" s="75"/>
      <c r="Y356" s="75"/>
      <c r="Z356" s="78"/>
      <c r="AA356" s="78"/>
      <c r="AB356" s="75"/>
      <c r="AC356" s="75"/>
      <c r="AD356" s="75"/>
      <c r="AE356" s="75"/>
      <c r="AF356" s="75"/>
      <c r="AG356" s="75"/>
      <c r="AH356" s="75"/>
      <c r="AI356" s="75"/>
      <c r="AJ356" s="81"/>
      <c r="AK356" s="75"/>
      <c r="AL356" s="75"/>
    </row>
    <row r="357" spans="1:38" s="69" customFormat="1" x14ac:dyDescent="0.25">
      <c r="A357" s="75"/>
      <c r="B357" s="75"/>
      <c r="C357" s="76"/>
      <c r="D357" s="76"/>
      <c r="E357" s="75"/>
      <c r="F357" s="75"/>
      <c r="G357" s="75"/>
      <c r="H357" s="75"/>
      <c r="I357" s="75"/>
      <c r="J357" s="75"/>
      <c r="K357" s="75"/>
      <c r="L357" s="75"/>
      <c r="M357" s="75"/>
      <c r="N357" s="75"/>
      <c r="O357" s="75"/>
      <c r="P357" s="75"/>
      <c r="Q357" s="75"/>
      <c r="R357" s="75"/>
      <c r="S357" s="75"/>
      <c r="T357" s="75"/>
      <c r="U357" s="75"/>
      <c r="V357" s="77"/>
      <c r="W357" s="75"/>
      <c r="X357" s="75"/>
      <c r="Y357" s="75"/>
      <c r="Z357" s="78"/>
      <c r="AA357" s="78"/>
      <c r="AB357" s="75"/>
      <c r="AC357" s="75"/>
      <c r="AD357" s="75"/>
      <c r="AE357" s="75"/>
      <c r="AF357" s="75"/>
      <c r="AG357" s="75"/>
      <c r="AH357" s="75"/>
      <c r="AI357" s="75"/>
      <c r="AJ357" s="81"/>
      <c r="AK357" s="75"/>
      <c r="AL357" s="75"/>
    </row>
    <row r="358" spans="1:38" s="69" customFormat="1" x14ac:dyDescent="0.25">
      <c r="A358" s="75"/>
      <c r="B358" s="75"/>
      <c r="C358" s="76"/>
      <c r="D358" s="76"/>
      <c r="E358" s="75"/>
      <c r="F358" s="75"/>
      <c r="G358" s="75"/>
      <c r="H358" s="75"/>
      <c r="I358" s="75"/>
      <c r="J358" s="75"/>
      <c r="K358" s="75"/>
      <c r="L358" s="75"/>
      <c r="M358" s="75"/>
      <c r="N358" s="75"/>
      <c r="O358" s="75"/>
      <c r="P358" s="75"/>
      <c r="Q358" s="75"/>
      <c r="R358" s="75"/>
      <c r="S358" s="75"/>
      <c r="T358" s="75"/>
      <c r="U358" s="75"/>
      <c r="V358" s="77"/>
      <c r="W358" s="75"/>
      <c r="X358" s="75"/>
      <c r="Y358" s="75"/>
      <c r="Z358" s="78"/>
      <c r="AA358" s="78"/>
      <c r="AB358" s="75"/>
      <c r="AC358" s="75"/>
      <c r="AD358" s="75"/>
      <c r="AE358" s="75"/>
      <c r="AF358" s="75"/>
      <c r="AG358" s="75"/>
      <c r="AH358" s="75"/>
      <c r="AI358" s="75"/>
      <c r="AJ358" s="81"/>
      <c r="AK358" s="75"/>
      <c r="AL358" s="75"/>
    </row>
    <row r="359" spans="1:38" s="69" customFormat="1" x14ac:dyDescent="0.25">
      <c r="A359" s="75"/>
      <c r="B359" s="75"/>
      <c r="C359" s="76"/>
      <c r="D359" s="76"/>
      <c r="E359" s="75"/>
      <c r="F359" s="75"/>
      <c r="G359" s="75"/>
      <c r="H359" s="75"/>
      <c r="I359" s="75"/>
      <c r="J359" s="75"/>
      <c r="K359" s="75"/>
      <c r="L359" s="75"/>
      <c r="M359" s="75"/>
      <c r="N359" s="75"/>
      <c r="O359" s="75"/>
      <c r="P359" s="75"/>
      <c r="Q359" s="75"/>
      <c r="R359" s="75"/>
      <c r="S359" s="75"/>
      <c r="T359" s="75"/>
      <c r="U359" s="75"/>
      <c r="V359" s="77"/>
      <c r="W359" s="75"/>
      <c r="X359" s="75"/>
      <c r="Y359" s="75"/>
      <c r="Z359" s="78"/>
      <c r="AA359" s="78"/>
      <c r="AB359" s="75"/>
      <c r="AC359" s="75"/>
      <c r="AD359" s="75"/>
      <c r="AE359" s="75"/>
      <c r="AF359" s="75"/>
      <c r="AG359" s="75"/>
      <c r="AH359" s="75"/>
      <c r="AI359" s="75"/>
      <c r="AJ359" s="81"/>
      <c r="AK359" s="75"/>
      <c r="AL359" s="75"/>
    </row>
    <row r="360" spans="1:38" s="69" customFormat="1" x14ac:dyDescent="0.25">
      <c r="A360" s="75"/>
      <c r="B360" s="75"/>
      <c r="C360" s="76"/>
      <c r="D360" s="76"/>
      <c r="E360" s="75"/>
      <c r="F360" s="75"/>
      <c r="G360" s="75"/>
      <c r="H360" s="75"/>
      <c r="I360" s="75"/>
      <c r="J360" s="75"/>
      <c r="K360" s="75"/>
      <c r="L360" s="75"/>
      <c r="M360" s="75"/>
      <c r="N360" s="75"/>
      <c r="O360" s="75"/>
      <c r="P360" s="75"/>
      <c r="Q360" s="75"/>
      <c r="R360" s="75"/>
      <c r="S360" s="75"/>
      <c r="T360" s="75"/>
      <c r="U360" s="75"/>
      <c r="V360" s="77"/>
      <c r="W360" s="75"/>
      <c r="X360" s="75"/>
      <c r="Y360" s="75"/>
      <c r="Z360" s="78"/>
      <c r="AA360" s="78"/>
      <c r="AB360" s="75"/>
      <c r="AC360" s="75"/>
      <c r="AD360" s="75"/>
      <c r="AE360" s="75"/>
      <c r="AF360" s="75"/>
      <c r="AG360" s="75"/>
      <c r="AH360" s="75"/>
      <c r="AI360" s="75"/>
      <c r="AJ360" s="81"/>
      <c r="AK360" s="75"/>
      <c r="AL360" s="75"/>
    </row>
    <row r="361" spans="1:38" s="69" customFormat="1" x14ac:dyDescent="0.25">
      <c r="A361" s="75"/>
      <c r="B361" s="75"/>
      <c r="C361" s="76"/>
      <c r="D361" s="76"/>
      <c r="E361" s="75"/>
      <c r="F361" s="75"/>
      <c r="G361" s="75"/>
      <c r="H361" s="75"/>
      <c r="I361" s="75"/>
      <c r="J361" s="75"/>
      <c r="K361" s="75"/>
      <c r="L361" s="75"/>
      <c r="M361" s="75"/>
      <c r="N361" s="75"/>
      <c r="O361" s="75"/>
      <c r="P361" s="75"/>
      <c r="Q361" s="75"/>
      <c r="R361" s="75"/>
      <c r="S361" s="75"/>
      <c r="T361" s="75"/>
      <c r="U361" s="75"/>
      <c r="V361" s="77"/>
      <c r="W361" s="75"/>
      <c r="X361" s="75"/>
      <c r="Y361" s="75"/>
      <c r="Z361" s="78"/>
      <c r="AA361" s="78"/>
      <c r="AB361" s="75"/>
      <c r="AC361" s="75"/>
      <c r="AD361" s="75"/>
      <c r="AE361" s="75"/>
      <c r="AF361" s="75"/>
      <c r="AG361" s="75"/>
      <c r="AH361" s="75"/>
      <c r="AI361" s="75"/>
      <c r="AJ361" s="81"/>
      <c r="AK361" s="75"/>
      <c r="AL361" s="75"/>
    </row>
    <row r="362" spans="1:38" s="69" customFormat="1" x14ac:dyDescent="0.25">
      <c r="A362" s="75"/>
      <c r="B362" s="75"/>
      <c r="C362" s="76"/>
      <c r="D362" s="76"/>
      <c r="E362" s="75"/>
      <c r="F362" s="75"/>
      <c r="G362" s="75"/>
      <c r="H362" s="75"/>
      <c r="I362" s="75"/>
      <c r="J362" s="75"/>
      <c r="K362" s="75"/>
      <c r="L362" s="75"/>
      <c r="M362" s="75"/>
      <c r="N362" s="75"/>
      <c r="O362" s="75"/>
      <c r="P362" s="75"/>
      <c r="Q362" s="75"/>
      <c r="R362" s="75"/>
      <c r="S362" s="75"/>
      <c r="T362" s="75"/>
      <c r="U362" s="75"/>
      <c r="V362" s="77"/>
      <c r="W362" s="75"/>
      <c r="X362" s="75"/>
      <c r="Y362" s="75"/>
      <c r="Z362" s="78"/>
      <c r="AA362" s="78"/>
      <c r="AB362" s="75"/>
      <c r="AC362" s="75"/>
      <c r="AD362" s="75"/>
      <c r="AE362" s="75"/>
      <c r="AF362" s="75"/>
      <c r="AG362" s="75"/>
      <c r="AH362" s="75"/>
      <c r="AI362" s="75"/>
      <c r="AJ362" s="81"/>
      <c r="AK362" s="75"/>
      <c r="AL362" s="75"/>
    </row>
    <row r="363" spans="1:38" s="69" customFormat="1" x14ac:dyDescent="0.25">
      <c r="A363" s="75"/>
      <c r="B363" s="75"/>
      <c r="C363" s="76"/>
      <c r="D363" s="76"/>
      <c r="E363" s="75"/>
      <c r="F363" s="75"/>
      <c r="G363" s="75"/>
      <c r="H363" s="75"/>
      <c r="I363" s="75"/>
      <c r="J363" s="75"/>
      <c r="K363" s="75"/>
      <c r="L363" s="75"/>
      <c r="M363" s="75"/>
      <c r="N363" s="75"/>
      <c r="O363" s="75"/>
      <c r="P363" s="75"/>
      <c r="Q363" s="75"/>
      <c r="R363" s="75"/>
      <c r="S363" s="75"/>
      <c r="T363" s="75"/>
      <c r="U363" s="75"/>
      <c r="V363" s="77"/>
      <c r="W363" s="75"/>
      <c r="X363" s="75"/>
      <c r="Y363" s="75"/>
      <c r="Z363" s="78"/>
      <c r="AA363" s="78"/>
      <c r="AB363" s="75"/>
      <c r="AC363" s="75"/>
      <c r="AD363" s="75"/>
      <c r="AE363" s="75"/>
      <c r="AF363" s="75"/>
      <c r="AG363" s="75"/>
      <c r="AH363" s="75"/>
      <c r="AI363" s="75"/>
      <c r="AJ363" s="81"/>
      <c r="AK363" s="75"/>
      <c r="AL363" s="75"/>
    </row>
    <row r="364" spans="1:38" s="69" customFormat="1" x14ac:dyDescent="0.25">
      <c r="A364" s="75"/>
      <c r="B364" s="75"/>
      <c r="C364" s="76"/>
      <c r="D364" s="76"/>
      <c r="E364" s="75"/>
      <c r="F364" s="75"/>
      <c r="G364" s="75"/>
      <c r="H364" s="75"/>
      <c r="I364" s="75"/>
      <c r="J364" s="75"/>
      <c r="K364" s="75"/>
      <c r="L364" s="75"/>
      <c r="M364" s="75"/>
      <c r="N364" s="75"/>
      <c r="O364" s="75"/>
      <c r="P364" s="75"/>
      <c r="Q364" s="75"/>
      <c r="R364" s="75"/>
      <c r="S364" s="75"/>
      <c r="T364" s="75"/>
      <c r="U364" s="75"/>
      <c r="V364" s="77"/>
      <c r="W364" s="75"/>
      <c r="X364" s="75"/>
      <c r="Y364" s="75"/>
      <c r="Z364" s="78"/>
      <c r="AA364" s="78"/>
      <c r="AB364" s="75"/>
      <c r="AC364" s="75"/>
      <c r="AD364" s="75"/>
      <c r="AE364" s="75"/>
      <c r="AF364" s="75"/>
      <c r="AG364" s="75"/>
      <c r="AH364" s="75"/>
      <c r="AI364" s="75"/>
      <c r="AJ364" s="81"/>
      <c r="AK364" s="75"/>
      <c r="AL364" s="75"/>
    </row>
    <row r="365" spans="1:38" s="69" customFormat="1" x14ac:dyDescent="0.25">
      <c r="A365" s="75"/>
      <c r="B365" s="75"/>
      <c r="C365" s="76"/>
      <c r="D365" s="76"/>
      <c r="E365" s="75"/>
      <c r="F365" s="75"/>
      <c r="G365" s="75"/>
      <c r="H365" s="75"/>
      <c r="I365" s="75"/>
      <c r="J365" s="75"/>
      <c r="K365" s="75"/>
      <c r="L365" s="75"/>
      <c r="M365" s="75"/>
      <c r="N365" s="75"/>
      <c r="O365" s="75"/>
      <c r="P365" s="75"/>
      <c r="Q365" s="75"/>
      <c r="R365" s="75"/>
      <c r="S365" s="75"/>
      <c r="T365" s="75"/>
      <c r="U365" s="75"/>
      <c r="V365" s="77"/>
      <c r="W365" s="75"/>
      <c r="X365" s="75"/>
      <c r="Y365" s="75"/>
      <c r="Z365" s="78"/>
      <c r="AA365" s="78"/>
      <c r="AB365" s="75"/>
      <c r="AC365" s="75"/>
      <c r="AD365" s="75"/>
      <c r="AE365" s="75"/>
      <c r="AF365" s="75"/>
      <c r="AG365" s="75"/>
      <c r="AH365" s="75"/>
      <c r="AI365" s="75"/>
      <c r="AJ365" s="81"/>
      <c r="AK365" s="75"/>
      <c r="AL365" s="75"/>
    </row>
    <row r="366" spans="1:38" s="69" customFormat="1" x14ac:dyDescent="0.25">
      <c r="A366" s="75"/>
      <c r="B366" s="75"/>
      <c r="C366" s="76"/>
      <c r="D366" s="76"/>
      <c r="E366" s="75"/>
      <c r="F366" s="75"/>
      <c r="G366" s="75"/>
      <c r="H366" s="75"/>
      <c r="I366" s="75"/>
      <c r="J366" s="75"/>
      <c r="K366" s="75"/>
      <c r="L366" s="75"/>
      <c r="M366" s="75"/>
      <c r="N366" s="75"/>
      <c r="O366" s="75"/>
      <c r="P366" s="75"/>
      <c r="Q366" s="75"/>
      <c r="R366" s="75"/>
      <c r="S366" s="75"/>
      <c r="T366" s="75"/>
      <c r="U366" s="75"/>
      <c r="V366" s="77"/>
      <c r="W366" s="75"/>
      <c r="X366" s="75"/>
      <c r="Y366" s="75"/>
      <c r="Z366" s="78"/>
      <c r="AA366" s="78"/>
      <c r="AB366" s="75"/>
      <c r="AJ366" s="72"/>
    </row>
    <row r="367" spans="1:38" s="69" customFormat="1" x14ac:dyDescent="0.25">
      <c r="A367" s="75"/>
      <c r="B367" s="75"/>
      <c r="C367" s="76"/>
      <c r="D367" s="76"/>
      <c r="E367" s="75"/>
      <c r="F367" s="75"/>
      <c r="G367" s="75"/>
      <c r="H367" s="75"/>
      <c r="I367" s="75"/>
      <c r="J367" s="75"/>
      <c r="K367" s="75"/>
      <c r="L367" s="75"/>
      <c r="M367" s="75"/>
      <c r="N367" s="75"/>
      <c r="O367" s="75"/>
      <c r="P367" s="75"/>
      <c r="Q367" s="75"/>
      <c r="R367" s="75"/>
      <c r="S367" s="75"/>
      <c r="T367" s="75"/>
      <c r="U367" s="75"/>
      <c r="V367" s="77"/>
      <c r="W367" s="75"/>
      <c r="X367" s="75"/>
      <c r="Y367" s="75"/>
      <c r="Z367" s="78"/>
      <c r="AA367" s="78"/>
      <c r="AB367" s="75"/>
      <c r="AJ367" s="72"/>
    </row>
    <row r="368" spans="1:38" s="69" customFormat="1" x14ac:dyDescent="0.25">
      <c r="A368" s="75"/>
      <c r="B368" s="75"/>
      <c r="C368" s="76"/>
      <c r="D368" s="76"/>
      <c r="E368" s="75"/>
      <c r="F368" s="75"/>
      <c r="G368" s="75"/>
      <c r="H368" s="75"/>
      <c r="I368" s="75"/>
      <c r="J368" s="75"/>
      <c r="K368" s="75"/>
      <c r="L368" s="75"/>
      <c r="M368" s="75"/>
      <c r="N368" s="75"/>
      <c r="O368" s="75"/>
      <c r="P368" s="75"/>
      <c r="Q368" s="75"/>
      <c r="R368" s="75"/>
      <c r="S368" s="75"/>
      <c r="T368" s="75"/>
      <c r="U368" s="75"/>
      <c r="V368" s="77"/>
      <c r="W368" s="75"/>
      <c r="X368" s="75"/>
      <c r="Y368" s="75"/>
      <c r="Z368" s="78"/>
      <c r="AA368" s="78"/>
      <c r="AB368" s="75"/>
      <c r="AJ368" s="72"/>
    </row>
    <row r="369" spans="1:36" s="69" customFormat="1" x14ac:dyDescent="0.25">
      <c r="A369" s="75"/>
      <c r="B369" s="75"/>
      <c r="C369" s="76"/>
      <c r="D369" s="76"/>
      <c r="E369" s="75"/>
      <c r="F369" s="75"/>
      <c r="G369" s="75"/>
      <c r="H369" s="75"/>
      <c r="I369" s="75"/>
      <c r="J369" s="75"/>
      <c r="K369" s="75"/>
      <c r="L369" s="75"/>
      <c r="M369" s="75"/>
      <c r="N369" s="75"/>
      <c r="O369" s="75"/>
      <c r="P369" s="75"/>
      <c r="Q369" s="75"/>
      <c r="R369" s="75"/>
      <c r="S369" s="75"/>
      <c r="T369" s="75"/>
      <c r="U369" s="75"/>
      <c r="V369" s="77"/>
      <c r="W369" s="75"/>
      <c r="X369" s="75"/>
      <c r="Y369" s="75"/>
      <c r="Z369" s="78"/>
      <c r="AA369" s="78"/>
      <c r="AB369" s="75"/>
      <c r="AJ369" s="72"/>
    </row>
    <row r="370" spans="1:36" s="69" customFormat="1" x14ac:dyDescent="0.25">
      <c r="A370" s="75"/>
      <c r="B370" s="75"/>
      <c r="C370" s="76"/>
      <c r="D370" s="76"/>
      <c r="E370" s="75"/>
      <c r="F370" s="75"/>
      <c r="G370" s="75"/>
      <c r="H370" s="75"/>
      <c r="I370" s="75"/>
      <c r="J370" s="75"/>
      <c r="K370" s="75"/>
      <c r="L370" s="75"/>
      <c r="M370" s="75"/>
      <c r="N370" s="75"/>
      <c r="O370" s="75"/>
      <c r="P370" s="75"/>
      <c r="Q370" s="75"/>
      <c r="R370" s="75"/>
      <c r="S370" s="75"/>
      <c r="T370" s="75"/>
      <c r="U370" s="75"/>
      <c r="V370" s="77"/>
      <c r="W370" s="75"/>
      <c r="X370" s="75"/>
      <c r="Y370" s="75"/>
      <c r="Z370" s="78"/>
      <c r="AA370" s="78"/>
      <c r="AB370" s="75"/>
      <c r="AJ370" s="72"/>
    </row>
    <row r="371" spans="1:36" s="69" customFormat="1" x14ac:dyDescent="0.25">
      <c r="A371" s="75"/>
      <c r="B371" s="75"/>
      <c r="C371" s="76"/>
      <c r="D371" s="76"/>
      <c r="E371" s="75"/>
      <c r="F371" s="75"/>
      <c r="G371" s="75"/>
      <c r="H371" s="75"/>
      <c r="I371" s="75"/>
      <c r="J371" s="75"/>
      <c r="K371" s="75"/>
      <c r="L371" s="75"/>
      <c r="M371" s="75"/>
      <c r="N371" s="75"/>
      <c r="O371" s="75"/>
      <c r="P371" s="75"/>
      <c r="Q371" s="75"/>
      <c r="R371" s="75"/>
      <c r="S371" s="75"/>
      <c r="T371" s="75"/>
      <c r="U371" s="75"/>
      <c r="V371" s="77"/>
      <c r="W371" s="75"/>
      <c r="X371" s="75"/>
      <c r="Y371" s="75"/>
      <c r="Z371" s="78"/>
      <c r="AA371" s="78"/>
      <c r="AB371" s="75"/>
      <c r="AJ371" s="72"/>
    </row>
    <row r="372" spans="1:36" s="69" customFormat="1" x14ac:dyDescent="0.25">
      <c r="A372" s="75"/>
      <c r="B372" s="75"/>
      <c r="C372" s="76"/>
      <c r="D372" s="76"/>
      <c r="E372" s="75"/>
      <c r="F372" s="75"/>
      <c r="G372" s="75"/>
      <c r="H372" s="75"/>
      <c r="I372" s="75"/>
      <c r="J372" s="75"/>
      <c r="K372" s="75"/>
      <c r="L372" s="75"/>
      <c r="M372" s="75"/>
      <c r="N372" s="75"/>
      <c r="O372" s="75"/>
      <c r="P372" s="75"/>
      <c r="Q372" s="75"/>
      <c r="R372" s="75"/>
      <c r="S372" s="75"/>
      <c r="T372" s="75"/>
      <c r="U372" s="75"/>
      <c r="V372" s="77"/>
      <c r="W372" s="75"/>
      <c r="X372" s="75"/>
      <c r="Y372" s="75"/>
      <c r="Z372" s="78"/>
      <c r="AA372" s="78"/>
      <c r="AB372" s="75"/>
      <c r="AJ372" s="72"/>
    </row>
    <row r="373" spans="1:36" s="69" customFormat="1" x14ac:dyDescent="0.25">
      <c r="A373" s="75"/>
      <c r="B373" s="75"/>
      <c r="C373" s="76"/>
      <c r="D373" s="76"/>
      <c r="E373" s="75"/>
      <c r="F373" s="75"/>
      <c r="G373" s="75"/>
      <c r="H373" s="75"/>
      <c r="I373" s="75"/>
      <c r="J373" s="75"/>
      <c r="K373" s="75"/>
      <c r="L373" s="75"/>
      <c r="M373" s="75"/>
      <c r="N373" s="75"/>
      <c r="O373" s="75"/>
      <c r="P373" s="75"/>
      <c r="Q373" s="75"/>
      <c r="R373" s="75"/>
      <c r="S373" s="75"/>
      <c r="T373" s="75"/>
      <c r="U373" s="75"/>
      <c r="V373" s="77"/>
      <c r="W373" s="75"/>
      <c r="X373" s="75"/>
      <c r="Y373" s="75"/>
      <c r="Z373" s="78"/>
      <c r="AA373" s="78"/>
      <c r="AB373" s="75"/>
      <c r="AJ373" s="72"/>
    </row>
    <row r="374" spans="1:36" s="69" customFormat="1" x14ac:dyDescent="0.25">
      <c r="A374" s="75"/>
      <c r="B374" s="75"/>
      <c r="C374" s="76"/>
      <c r="D374" s="76"/>
      <c r="E374" s="75"/>
      <c r="F374" s="75"/>
      <c r="G374" s="75"/>
      <c r="H374" s="75"/>
      <c r="I374" s="75"/>
      <c r="J374" s="75"/>
      <c r="K374" s="75"/>
      <c r="L374" s="75"/>
      <c r="M374" s="75"/>
      <c r="N374" s="75"/>
      <c r="O374" s="75"/>
      <c r="P374" s="75"/>
      <c r="Q374" s="75"/>
      <c r="R374" s="75"/>
      <c r="S374" s="75"/>
      <c r="T374" s="75"/>
      <c r="U374" s="75"/>
      <c r="V374" s="77"/>
      <c r="W374" s="75"/>
      <c r="X374" s="75"/>
      <c r="Y374" s="75"/>
      <c r="Z374" s="78"/>
      <c r="AA374" s="78"/>
      <c r="AB374" s="75"/>
      <c r="AJ374" s="72"/>
    </row>
    <row r="375" spans="1:36" s="69" customFormat="1" x14ac:dyDescent="0.25">
      <c r="A375" s="75"/>
      <c r="B375" s="75"/>
      <c r="C375" s="76"/>
      <c r="D375" s="76"/>
      <c r="E375" s="75"/>
      <c r="F375" s="75"/>
      <c r="G375" s="75"/>
      <c r="H375" s="75"/>
      <c r="I375" s="75"/>
      <c r="J375" s="75"/>
      <c r="K375" s="75"/>
      <c r="L375" s="75"/>
      <c r="M375" s="75"/>
      <c r="N375" s="75"/>
      <c r="O375" s="75"/>
      <c r="P375" s="75"/>
      <c r="Q375" s="75"/>
      <c r="R375" s="75"/>
      <c r="S375" s="75"/>
      <c r="T375" s="75"/>
      <c r="U375" s="75"/>
      <c r="V375" s="77"/>
      <c r="W375" s="75"/>
      <c r="X375" s="75"/>
      <c r="Y375" s="75"/>
      <c r="Z375" s="78"/>
      <c r="AA375" s="78"/>
      <c r="AB375" s="75"/>
      <c r="AJ375" s="72"/>
    </row>
    <row r="376" spans="1:36" s="69" customFormat="1" x14ac:dyDescent="0.25">
      <c r="A376" s="75"/>
      <c r="B376" s="75"/>
      <c r="C376" s="76"/>
      <c r="D376" s="76"/>
      <c r="E376" s="75"/>
      <c r="F376" s="75"/>
      <c r="G376" s="75"/>
      <c r="H376" s="75"/>
      <c r="I376" s="75"/>
      <c r="J376" s="75"/>
      <c r="K376" s="75"/>
      <c r="L376" s="75"/>
      <c r="M376" s="75"/>
      <c r="N376" s="75"/>
      <c r="O376" s="75"/>
      <c r="P376" s="75"/>
      <c r="Q376" s="75"/>
      <c r="R376" s="75"/>
      <c r="S376" s="75"/>
      <c r="T376" s="75"/>
      <c r="U376" s="75"/>
      <c r="V376" s="77"/>
      <c r="W376" s="75"/>
      <c r="X376" s="75"/>
      <c r="Y376" s="75"/>
      <c r="Z376" s="78"/>
      <c r="AA376" s="78"/>
      <c r="AB376" s="75"/>
      <c r="AJ376" s="72"/>
    </row>
    <row r="377" spans="1:36" s="69" customFormat="1" x14ac:dyDescent="0.25">
      <c r="A377" s="75"/>
      <c r="B377" s="75"/>
      <c r="C377" s="76"/>
      <c r="D377" s="76"/>
      <c r="E377" s="75"/>
      <c r="F377" s="75"/>
      <c r="G377" s="75"/>
      <c r="H377" s="75"/>
      <c r="I377" s="75"/>
      <c r="J377" s="75"/>
      <c r="K377" s="75"/>
      <c r="L377" s="75"/>
      <c r="M377" s="75"/>
      <c r="N377" s="75"/>
      <c r="O377" s="75"/>
      <c r="P377" s="75"/>
      <c r="Q377" s="75"/>
      <c r="R377" s="75"/>
      <c r="S377" s="75"/>
      <c r="T377" s="75"/>
      <c r="U377" s="75"/>
      <c r="V377" s="77"/>
      <c r="W377" s="75"/>
      <c r="X377" s="75"/>
      <c r="Y377" s="75"/>
      <c r="Z377" s="78"/>
      <c r="AA377" s="78"/>
      <c r="AB377" s="75"/>
      <c r="AJ377" s="72"/>
    </row>
    <row r="378" spans="1:36" s="69" customFormat="1" x14ac:dyDescent="0.25">
      <c r="A378" s="75"/>
      <c r="B378" s="75"/>
      <c r="C378" s="76"/>
      <c r="D378" s="76"/>
      <c r="E378" s="75"/>
      <c r="F378" s="75"/>
      <c r="G378" s="75"/>
      <c r="H378" s="75"/>
      <c r="I378" s="75"/>
      <c r="J378" s="75"/>
      <c r="K378" s="75"/>
      <c r="L378" s="75"/>
      <c r="M378" s="75"/>
      <c r="N378" s="75"/>
      <c r="O378" s="75"/>
      <c r="P378" s="75"/>
      <c r="Q378" s="75"/>
      <c r="R378" s="75"/>
      <c r="S378" s="75"/>
      <c r="T378" s="75"/>
      <c r="U378" s="75"/>
      <c r="V378" s="77"/>
      <c r="W378" s="75"/>
      <c r="X378" s="75"/>
      <c r="Y378" s="75"/>
      <c r="Z378" s="78"/>
      <c r="AA378" s="78"/>
      <c r="AB378" s="75"/>
      <c r="AJ378" s="72"/>
    </row>
    <row r="379" spans="1:36" s="69" customFormat="1" x14ac:dyDescent="0.25">
      <c r="A379" s="75"/>
      <c r="B379" s="75"/>
      <c r="C379" s="76"/>
      <c r="D379" s="76"/>
      <c r="E379" s="75"/>
      <c r="F379" s="75"/>
      <c r="G379" s="75"/>
      <c r="H379" s="75"/>
      <c r="I379" s="75"/>
      <c r="J379" s="75"/>
      <c r="K379" s="75"/>
      <c r="L379" s="75"/>
      <c r="M379" s="75"/>
      <c r="N379" s="75"/>
      <c r="O379" s="75"/>
      <c r="P379" s="75"/>
      <c r="Q379" s="75"/>
      <c r="R379" s="75"/>
      <c r="S379" s="75"/>
      <c r="T379" s="75"/>
      <c r="U379" s="75"/>
      <c r="V379" s="77"/>
      <c r="W379" s="75"/>
      <c r="X379" s="75"/>
      <c r="Y379" s="75"/>
      <c r="Z379" s="78"/>
      <c r="AA379" s="78"/>
      <c r="AB379" s="75"/>
      <c r="AJ379" s="72"/>
    </row>
    <row r="380" spans="1:36" s="69" customFormat="1" x14ac:dyDescent="0.25">
      <c r="A380" s="75"/>
      <c r="B380" s="75"/>
      <c r="C380" s="76"/>
      <c r="D380" s="76"/>
      <c r="E380" s="75"/>
      <c r="F380" s="75"/>
      <c r="G380" s="75"/>
      <c r="H380" s="75"/>
      <c r="I380" s="75"/>
      <c r="J380" s="75"/>
      <c r="K380" s="75"/>
      <c r="L380" s="75"/>
      <c r="M380" s="75"/>
      <c r="N380" s="75"/>
      <c r="O380" s="75"/>
      <c r="P380" s="75"/>
      <c r="Q380" s="75"/>
      <c r="R380" s="75"/>
      <c r="S380" s="75"/>
      <c r="T380" s="75"/>
      <c r="U380" s="75"/>
      <c r="V380" s="77"/>
      <c r="W380" s="75"/>
      <c r="X380" s="75"/>
      <c r="Y380" s="75"/>
      <c r="Z380" s="78"/>
      <c r="AA380" s="78"/>
      <c r="AB380" s="75"/>
      <c r="AJ380" s="72"/>
    </row>
    <row r="381" spans="1:36" s="69" customFormat="1" x14ac:dyDescent="0.25">
      <c r="A381" s="75"/>
      <c r="B381" s="75"/>
      <c r="C381" s="76"/>
      <c r="D381" s="76"/>
      <c r="E381" s="75"/>
      <c r="F381" s="75"/>
      <c r="G381" s="75"/>
      <c r="H381" s="75"/>
      <c r="I381" s="75"/>
      <c r="J381" s="75"/>
      <c r="K381" s="75"/>
      <c r="L381" s="75"/>
      <c r="M381" s="75"/>
      <c r="N381" s="75"/>
      <c r="O381" s="75"/>
      <c r="P381" s="75"/>
      <c r="Q381" s="75"/>
      <c r="R381" s="75"/>
      <c r="S381" s="75"/>
      <c r="T381" s="75"/>
      <c r="U381" s="75"/>
      <c r="V381" s="77"/>
      <c r="W381" s="75"/>
      <c r="X381" s="75"/>
      <c r="Y381" s="75"/>
      <c r="Z381" s="78"/>
      <c r="AA381" s="78"/>
      <c r="AB381" s="75"/>
      <c r="AJ381" s="72"/>
    </row>
    <row r="382" spans="1:36" s="69" customFormat="1" x14ac:dyDescent="0.25">
      <c r="A382" s="75"/>
      <c r="B382" s="75"/>
      <c r="C382" s="76"/>
      <c r="D382" s="76"/>
      <c r="E382" s="75"/>
      <c r="F382" s="75"/>
      <c r="G382" s="75"/>
      <c r="H382" s="75"/>
      <c r="I382" s="75"/>
      <c r="J382" s="75"/>
      <c r="K382" s="75"/>
      <c r="L382" s="75"/>
      <c r="M382" s="75"/>
      <c r="N382" s="75"/>
      <c r="O382" s="75"/>
      <c r="P382" s="75"/>
      <c r="Q382" s="75"/>
      <c r="R382" s="75"/>
      <c r="S382" s="75"/>
      <c r="T382" s="75"/>
      <c r="U382" s="75"/>
      <c r="V382" s="77"/>
      <c r="W382" s="75"/>
      <c r="X382" s="75"/>
      <c r="Y382" s="75"/>
      <c r="Z382" s="78"/>
      <c r="AA382" s="78"/>
      <c r="AB382" s="75"/>
      <c r="AJ382" s="72"/>
    </row>
    <row r="383" spans="1:36" s="69" customFormat="1" x14ac:dyDescent="0.25">
      <c r="A383" s="75"/>
      <c r="B383" s="75"/>
      <c r="C383" s="76"/>
      <c r="D383" s="76"/>
      <c r="E383" s="75"/>
      <c r="F383" s="75"/>
      <c r="G383" s="75"/>
      <c r="H383" s="75"/>
      <c r="I383" s="75"/>
      <c r="J383" s="75"/>
      <c r="K383" s="75"/>
      <c r="L383" s="75"/>
      <c r="M383" s="75"/>
      <c r="N383" s="75"/>
      <c r="O383" s="75"/>
      <c r="P383" s="75"/>
      <c r="Q383" s="75"/>
      <c r="R383" s="75"/>
      <c r="S383" s="75"/>
      <c r="T383" s="75"/>
      <c r="U383" s="75"/>
      <c r="V383" s="77"/>
      <c r="W383" s="75"/>
      <c r="X383" s="75"/>
      <c r="Y383" s="75"/>
      <c r="Z383" s="78"/>
      <c r="AA383" s="78"/>
      <c r="AB383" s="75"/>
      <c r="AJ383" s="72"/>
    </row>
    <row r="384" spans="1:36" s="69" customFormat="1" x14ac:dyDescent="0.25">
      <c r="A384" s="75"/>
      <c r="B384" s="75"/>
      <c r="C384" s="76"/>
      <c r="D384" s="76"/>
      <c r="E384" s="75"/>
      <c r="F384" s="75"/>
      <c r="G384" s="75"/>
      <c r="H384" s="75"/>
      <c r="I384" s="75"/>
      <c r="J384" s="75"/>
      <c r="K384" s="75"/>
      <c r="L384" s="75"/>
      <c r="M384" s="75"/>
      <c r="N384" s="75"/>
      <c r="O384" s="75"/>
      <c r="P384" s="75"/>
      <c r="Q384" s="75"/>
      <c r="R384" s="75"/>
      <c r="S384" s="75"/>
      <c r="T384" s="75"/>
      <c r="U384" s="75"/>
      <c r="V384" s="77"/>
      <c r="W384" s="75"/>
      <c r="X384" s="75"/>
      <c r="Y384" s="75"/>
      <c r="Z384" s="78"/>
      <c r="AA384" s="78"/>
      <c r="AB384" s="75"/>
      <c r="AJ384" s="72"/>
    </row>
    <row r="385" spans="1:36" s="69" customFormat="1" x14ac:dyDescent="0.25">
      <c r="A385" s="75"/>
      <c r="B385" s="75"/>
      <c r="C385" s="76"/>
      <c r="D385" s="76"/>
      <c r="E385" s="75"/>
      <c r="F385" s="75"/>
      <c r="G385" s="75"/>
      <c r="H385" s="75"/>
      <c r="I385" s="75"/>
      <c r="J385" s="75"/>
      <c r="K385" s="75"/>
      <c r="L385" s="75"/>
      <c r="M385" s="75"/>
      <c r="N385" s="75"/>
      <c r="O385" s="75"/>
      <c r="P385" s="75"/>
      <c r="Q385" s="75"/>
      <c r="R385" s="75"/>
      <c r="S385" s="75"/>
      <c r="T385" s="75"/>
      <c r="U385" s="75"/>
      <c r="V385" s="77"/>
      <c r="W385" s="75"/>
      <c r="X385" s="75"/>
      <c r="Y385" s="75"/>
      <c r="Z385" s="78"/>
      <c r="AA385" s="78"/>
      <c r="AB385" s="75"/>
      <c r="AJ385" s="72"/>
    </row>
    <row r="386" spans="1:36" s="69" customFormat="1" x14ac:dyDescent="0.25">
      <c r="A386" s="75"/>
      <c r="B386" s="75"/>
      <c r="C386" s="76"/>
      <c r="D386" s="76"/>
      <c r="E386" s="75"/>
      <c r="F386" s="75"/>
      <c r="G386" s="75"/>
      <c r="H386" s="75"/>
      <c r="I386" s="75"/>
      <c r="J386" s="75"/>
      <c r="K386" s="75"/>
      <c r="L386" s="75"/>
      <c r="M386" s="75"/>
      <c r="N386" s="75"/>
      <c r="O386" s="75"/>
      <c r="P386" s="75"/>
      <c r="Q386" s="75"/>
      <c r="R386" s="75"/>
      <c r="S386" s="75"/>
      <c r="T386" s="75"/>
      <c r="U386" s="75"/>
      <c r="V386" s="77"/>
      <c r="W386" s="75"/>
      <c r="X386" s="75"/>
      <c r="Y386" s="75"/>
      <c r="Z386" s="78"/>
      <c r="AA386" s="78"/>
      <c r="AB386" s="75"/>
      <c r="AJ386" s="72"/>
    </row>
    <row r="387" spans="1:36" s="69" customFormat="1" x14ac:dyDescent="0.25">
      <c r="A387" s="75"/>
      <c r="B387" s="75"/>
      <c r="C387" s="76"/>
      <c r="D387" s="76"/>
      <c r="E387" s="75"/>
      <c r="F387" s="75"/>
      <c r="G387" s="75"/>
      <c r="H387" s="75"/>
      <c r="I387" s="75"/>
      <c r="J387" s="75"/>
      <c r="K387" s="75"/>
      <c r="L387" s="75"/>
      <c r="M387" s="75"/>
      <c r="N387" s="75"/>
      <c r="O387" s="75"/>
      <c r="P387" s="75"/>
      <c r="Q387" s="75"/>
      <c r="R387" s="75"/>
      <c r="S387" s="75"/>
      <c r="T387" s="75"/>
      <c r="U387" s="75"/>
      <c r="V387" s="77"/>
      <c r="W387" s="75"/>
      <c r="X387" s="75"/>
      <c r="Y387" s="75"/>
      <c r="Z387" s="78"/>
      <c r="AA387" s="78"/>
      <c r="AB387" s="75"/>
      <c r="AJ387" s="72"/>
    </row>
    <row r="388" spans="1:36" s="69" customFormat="1" x14ac:dyDescent="0.25">
      <c r="A388" s="75"/>
      <c r="B388" s="75"/>
      <c r="C388" s="76"/>
      <c r="D388" s="76"/>
      <c r="E388" s="75"/>
      <c r="F388" s="75"/>
      <c r="G388" s="75"/>
      <c r="H388" s="75"/>
      <c r="I388" s="75"/>
      <c r="J388" s="75"/>
      <c r="K388" s="75"/>
      <c r="L388" s="75"/>
      <c r="M388" s="75"/>
      <c r="N388" s="75"/>
      <c r="O388" s="75"/>
      <c r="P388" s="75"/>
      <c r="Q388" s="75"/>
      <c r="R388" s="75"/>
      <c r="S388" s="75"/>
      <c r="T388" s="75"/>
      <c r="U388" s="75"/>
      <c r="V388" s="77"/>
      <c r="W388" s="75"/>
      <c r="X388" s="75"/>
      <c r="Y388" s="75"/>
      <c r="Z388" s="78"/>
      <c r="AA388" s="78"/>
      <c r="AB388" s="75"/>
      <c r="AJ388" s="72"/>
    </row>
    <row r="389" spans="1:36" s="69" customFormat="1" x14ac:dyDescent="0.25">
      <c r="A389" s="75"/>
      <c r="B389" s="75"/>
      <c r="C389" s="76"/>
      <c r="D389" s="76"/>
      <c r="E389" s="75"/>
      <c r="F389" s="75"/>
      <c r="G389" s="75"/>
      <c r="H389" s="75"/>
      <c r="I389" s="75"/>
      <c r="J389" s="75"/>
      <c r="K389" s="75"/>
      <c r="L389" s="75"/>
      <c r="M389" s="75"/>
      <c r="N389" s="75"/>
      <c r="O389" s="75"/>
      <c r="P389" s="75"/>
      <c r="Q389" s="75"/>
      <c r="R389" s="75"/>
      <c r="S389" s="75"/>
      <c r="T389" s="75"/>
      <c r="U389" s="75"/>
      <c r="V389" s="77"/>
      <c r="W389" s="75"/>
      <c r="X389" s="75"/>
      <c r="Y389" s="75"/>
      <c r="Z389" s="78"/>
      <c r="AA389" s="78"/>
      <c r="AB389" s="75"/>
      <c r="AJ389" s="72"/>
    </row>
    <row r="390" spans="1:36" s="69" customFormat="1" x14ac:dyDescent="0.25">
      <c r="A390" s="75"/>
      <c r="B390" s="75"/>
      <c r="C390" s="76"/>
      <c r="D390" s="76"/>
      <c r="E390" s="75"/>
      <c r="F390" s="75"/>
      <c r="G390" s="75"/>
      <c r="H390" s="75"/>
      <c r="I390" s="75"/>
      <c r="J390" s="75"/>
      <c r="K390" s="75"/>
      <c r="L390" s="75"/>
      <c r="M390" s="75"/>
      <c r="N390" s="75"/>
      <c r="O390" s="75"/>
      <c r="P390" s="75"/>
      <c r="Q390" s="75"/>
      <c r="R390" s="75"/>
      <c r="S390" s="75"/>
      <c r="T390" s="75"/>
      <c r="U390" s="75"/>
      <c r="V390" s="77"/>
      <c r="W390" s="75"/>
      <c r="X390" s="75"/>
      <c r="Y390" s="75"/>
      <c r="Z390" s="78"/>
      <c r="AA390" s="78"/>
      <c r="AB390" s="75"/>
      <c r="AJ390" s="72"/>
    </row>
    <row r="391" spans="1:36" s="69" customFormat="1" x14ac:dyDescent="0.25">
      <c r="A391" s="75"/>
      <c r="B391" s="75"/>
      <c r="C391" s="76"/>
      <c r="D391" s="76"/>
      <c r="E391" s="75"/>
      <c r="F391" s="75"/>
      <c r="G391" s="75"/>
      <c r="H391" s="75"/>
      <c r="I391" s="75"/>
      <c r="J391" s="75"/>
      <c r="K391" s="75"/>
      <c r="L391" s="75"/>
      <c r="M391" s="75"/>
      <c r="N391" s="75"/>
      <c r="O391" s="75"/>
      <c r="P391" s="75"/>
      <c r="Q391" s="75"/>
      <c r="R391" s="75"/>
      <c r="S391" s="75"/>
      <c r="T391" s="75"/>
      <c r="U391" s="75"/>
      <c r="V391" s="77"/>
      <c r="W391" s="75"/>
      <c r="X391" s="75"/>
      <c r="Y391" s="75"/>
      <c r="Z391" s="78"/>
      <c r="AA391" s="78"/>
      <c r="AB391" s="75"/>
      <c r="AJ391" s="72"/>
    </row>
    <row r="392" spans="1:36" s="69" customFormat="1" x14ac:dyDescent="0.25">
      <c r="A392" s="75"/>
      <c r="B392" s="75"/>
      <c r="C392" s="76"/>
      <c r="D392" s="76"/>
      <c r="E392" s="75"/>
      <c r="F392" s="75"/>
      <c r="G392" s="75"/>
      <c r="H392" s="75"/>
      <c r="I392" s="75"/>
      <c r="J392" s="75"/>
      <c r="K392" s="75"/>
      <c r="L392" s="75"/>
      <c r="M392" s="75"/>
      <c r="N392" s="75"/>
      <c r="O392" s="75"/>
      <c r="P392" s="75"/>
      <c r="Q392" s="75"/>
      <c r="R392" s="75"/>
      <c r="S392" s="75"/>
      <c r="T392" s="75"/>
      <c r="U392" s="75"/>
      <c r="V392" s="77"/>
      <c r="W392" s="75"/>
      <c r="X392" s="75"/>
      <c r="Y392" s="75"/>
      <c r="Z392" s="78"/>
      <c r="AA392" s="78"/>
      <c r="AB392" s="75"/>
      <c r="AJ392" s="72"/>
    </row>
    <row r="393" spans="1:36" s="69" customFormat="1" x14ac:dyDescent="0.25">
      <c r="A393" s="75"/>
      <c r="B393" s="75"/>
      <c r="C393" s="76"/>
      <c r="D393" s="76"/>
      <c r="E393" s="75"/>
      <c r="F393" s="75"/>
      <c r="G393" s="75"/>
      <c r="H393" s="75"/>
      <c r="I393" s="75"/>
      <c r="J393" s="75"/>
      <c r="K393" s="75"/>
      <c r="L393" s="75"/>
      <c r="M393" s="75"/>
      <c r="N393" s="75"/>
      <c r="O393" s="75"/>
      <c r="P393" s="75"/>
      <c r="Q393" s="75"/>
      <c r="R393" s="75"/>
      <c r="S393" s="75"/>
      <c r="T393" s="75"/>
      <c r="U393" s="75"/>
      <c r="V393" s="77"/>
      <c r="W393" s="75"/>
      <c r="X393" s="75"/>
      <c r="Y393" s="75"/>
      <c r="Z393" s="78"/>
      <c r="AA393" s="78"/>
      <c r="AB393" s="75"/>
      <c r="AJ393" s="72"/>
    </row>
    <row r="394" spans="1:36" s="69" customFormat="1" x14ac:dyDescent="0.25">
      <c r="A394" s="75"/>
      <c r="B394" s="75"/>
      <c r="C394" s="76"/>
      <c r="D394" s="76"/>
      <c r="E394" s="75"/>
      <c r="F394" s="75"/>
      <c r="G394" s="75"/>
      <c r="H394" s="75"/>
      <c r="I394" s="75"/>
      <c r="J394" s="75"/>
      <c r="K394" s="75"/>
      <c r="L394" s="75"/>
      <c r="M394" s="75"/>
      <c r="N394" s="75"/>
      <c r="O394" s="75"/>
      <c r="P394" s="75"/>
      <c r="Q394" s="75"/>
      <c r="R394" s="75"/>
      <c r="S394" s="75"/>
      <c r="T394" s="75"/>
      <c r="U394" s="75"/>
      <c r="V394" s="77"/>
      <c r="W394" s="75"/>
      <c r="X394" s="75"/>
      <c r="Y394" s="75"/>
      <c r="Z394" s="78"/>
      <c r="AA394" s="78"/>
      <c r="AB394" s="75"/>
      <c r="AJ394" s="72"/>
    </row>
    <row r="395" spans="1:36" s="69" customFormat="1" x14ac:dyDescent="0.25">
      <c r="A395" s="75"/>
      <c r="B395" s="75"/>
      <c r="C395" s="76"/>
      <c r="D395" s="76"/>
      <c r="E395" s="75"/>
      <c r="F395" s="75"/>
      <c r="G395" s="75"/>
      <c r="H395" s="75"/>
      <c r="I395" s="75"/>
      <c r="J395" s="75"/>
      <c r="K395" s="75"/>
      <c r="L395" s="75"/>
      <c r="M395" s="75"/>
      <c r="N395" s="75"/>
      <c r="O395" s="75"/>
      <c r="P395" s="75"/>
      <c r="Q395" s="75"/>
      <c r="R395" s="75"/>
      <c r="S395" s="75"/>
      <c r="T395" s="75"/>
      <c r="U395" s="75"/>
      <c r="V395" s="77"/>
      <c r="W395" s="75"/>
      <c r="X395" s="75"/>
      <c r="Y395" s="75"/>
      <c r="Z395" s="78"/>
      <c r="AA395" s="78"/>
      <c r="AB395" s="75"/>
      <c r="AJ395" s="72"/>
    </row>
    <row r="396" spans="1:36" s="69" customFormat="1" x14ac:dyDescent="0.25">
      <c r="A396" s="75"/>
      <c r="B396" s="75"/>
      <c r="C396" s="76"/>
      <c r="D396" s="76"/>
      <c r="E396" s="75"/>
      <c r="F396" s="75"/>
      <c r="G396" s="75"/>
      <c r="H396" s="75"/>
      <c r="I396" s="75"/>
      <c r="J396" s="75"/>
      <c r="K396" s="75"/>
      <c r="L396" s="75"/>
      <c r="M396" s="75"/>
      <c r="N396" s="75"/>
      <c r="O396" s="75"/>
      <c r="P396" s="75"/>
      <c r="Q396" s="75"/>
      <c r="R396" s="75"/>
      <c r="S396" s="75"/>
      <c r="T396" s="75"/>
      <c r="U396" s="75"/>
      <c r="V396" s="77"/>
      <c r="W396" s="75"/>
      <c r="X396" s="75"/>
      <c r="Y396" s="75"/>
      <c r="Z396" s="78"/>
      <c r="AA396" s="78"/>
      <c r="AB396" s="75"/>
      <c r="AJ396" s="72"/>
    </row>
    <row r="397" spans="1:36" s="69" customFormat="1" x14ac:dyDescent="0.25">
      <c r="A397" s="75"/>
      <c r="B397" s="75"/>
      <c r="C397" s="76"/>
      <c r="D397" s="76"/>
      <c r="E397" s="75"/>
      <c r="F397" s="75"/>
      <c r="G397" s="75"/>
      <c r="H397" s="75"/>
      <c r="I397" s="75"/>
      <c r="J397" s="75"/>
      <c r="K397" s="75"/>
      <c r="L397" s="75"/>
      <c r="M397" s="75"/>
      <c r="N397" s="75"/>
      <c r="O397" s="75"/>
      <c r="P397" s="75"/>
      <c r="Q397" s="75"/>
      <c r="R397" s="75"/>
      <c r="S397" s="75"/>
      <c r="T397" s="75"/>
      <c r="U397" s="75"/>
      <c r="V397" s="77"/>
      <c r="W397" s="75"/>
      <c r="X397" s="75"/>
      <c r="Y397" s="75"/>
      <c r="Z397" s="78"/>
      <c r="AA397" s="78"/>
      <c r="AB397" s="75"/>
      <c r="AJ397" s="72"/>
    </row>
    <row r="398" spans="1:36" s="69" customFormat="1" x14ac:dyDescent="0.25">
      <c r="A398" s="75"/>
      <c r="B398" s="75"/>
      <c r="C398" s="76"/>
      <c r="D398" s="76"/>
      <c r="E398" s="75"/>
      <c r="F398" s="75"/>
      <c r="G398" s="75"/>
      <c r="H398" s="75"/>
      <c r="I398" s="75"/>
      <c r="J398" s="75"/>
      <c r="K398" s="75"/>
      <c r="L398" s="75"/>
      <c r="M398" s="75"/>
      <c r="N398" s="75"/>
      <c r="O398" s="75"/>
      <c r="P398" s="75"/>
      <c r="Q398" s="75"/>
      <c r="R398" s="75"/>
      <c r="S398" s="75"/>
      <c r="T398" s="75"/>
      <c r="U398" s="75"/>
      <c r="V398" s="77"/>
      <c r="W398" s="75"/>
      <c r="X398" s="75"/>
      <c r="Y398" s="75"/>
      <c r="Z398" s="78"/>
      <c r="AA398" s="78"/>
      <c r="AB398" s="75"/>
      <c r="AJ398" s="72"/>
    </row>
    <row r="399" spans="1:36" s="69" customFormat="1" x14ac:dyDescent="0.25">
      <c r="A399" s="75"/>
      <c r="B399" s="75"/>
      <c r="C399" s="76"/>
      <c r="D399" s="76"/>
      <c r="E399" s="75"/>
      <c r="F399" s="75"/>
      <c r="G399" s="75"/>
      <c r="H399" s="75"/>
      <c r="I399" s="75"/>
      <c r="J399" s="75"/>
      <c r="K399" s="75"/>
      <c r="L399" s="75"/>
      <c r="M399" s="75"/>
      <c r="N399" s="75"/>
      <c r="O399" s="75"/>
      <c r="P399" s="75"/>
      <c r="Q399" s="75"/>
      <c r="R399" s="75"/>
      <c r="S399" s="75"/>
      <c r="T399" s="75"/>
      <c r="U399" s="75"/>
      <c r="V399" s="77"/>
      <c r="W399" s="75"/>
      <c r="X399" s="75"/>
      <c r="Y399" s="75"/>
      <c r="Z399" s="78"/>
      <c r="AA399" s="78"/>
      <c r="AB399" s="75"/>
      <c r="AJ399" s="72"/>
    </row>
    <row r="400" spans="1:36" s="69" customFormat="1" x14ac:dyDescent="0.25">
      <c r="A400" s="75"/>
      <c r="B400" s="75"/>
      <c r="C400" s="76"/>
      <c r="D400" s="76"/>
      <c r="E400" s="75"/>
      <c r="F400" s="75"/>
      <c r="G400" s="75"/>
      <c r="H400" s="75"/>
      <c r="I400" s="75"/>
      <c r="J400" s="75"/>
      <c r="K400" s="75"/>
      <c r="L400" s="75"/>
      <c r="M400" s="75"/>
      <c r="N400" s="75"/>
      <c r="O400" s="75"/>
      <c r="P400" s="75"/>
      <c r="Q400" s="75"/>
      <c r="R400" s="75"/>
      <c r="S400" s="75"/>
      <c r="T400" s="75"/>
      <c r="U400" s="75"/>
      <c r="V400" s="77"/>
      <c r="W400" s="75"/>
      <c r="X400" s="75"/>
      <c r="Y400" s="75"/>
      <c r="Z400" s="78"/>
      <c r="AA400" s="78"/>
      <c r="AB400" s="75"/>
      <c r="AJ400" s="72"/>
    </row>
    <row r="401" spans="1:36" s="69" customFormat="1" x14ac:dyDescent="0.25">
      <c r="A401" s="75"/>
      <c r="B401" s="75"/>
      <c r="C401" s="76"/>
      <c r="D401" s="76"/>
      <c r="E401" s="75"/>
      <c r="F401" s="75"/>
      <c r="G401" s="75"/>
      <c r="H401" s="75"/>
      <c r="I401" s="75"/>
      <c r="J401" s="75"/>
      <c r="K401" s="75"/>
      <c r="L401" s="75"/>
      <c r="M401" s="75"/>
      <c r="N401" s="75"/>
      <c r="O401" s="75"/>
      <c r="P401" s="75"/>
      <c r="Q401" s="75"/>
      <c r="R401" s="75"/>
      <c r="S401" s="75"/>
      <c r="T401" s="75"/>
      <c r="U401" s="75"/>
      <c r="V401" s="77"/>
      <c r="W401" s="75"/>
      <c r="X401" s="75"/>
      <c r="Y401" s="75"/>
      <c r="Z401" s="78"/>
      <c r="AA401" s="78"/>
      <c r="AB401" s="75"/>
      <c r="AJ401" s="72"/>
    </row>
    <row r="402" spans="1:36" s="69" customFormat="1" x14ac:dyDescent="0.25">
      <c r="A402" s="75"/>
      <c r="B402" s="75"/>
      <c r="C402" s="76"/>
      <c r="D402" s="76"/>
      <c r="E402" s="75"/>
      <c r="F402" s="75"/>
      <c r="G402" s="75"/>
      <c r="H402" s="75"/>
      <c r="I402" s="75"/>
      <c r="J402" s="75"/>
      <c r="K402" s="75"/>
      <c r="L402" s="75"/>
      <c r="M402" s="75"/>
      <c r="N402" s="75"/>
      <c r="O402" s="75"/>
      <c r="P402" s="75"/>
      <c r="Q402" s="75"/>
      <c r="R402" s="75"/>
      <c r="S402" s="75"/>
      <c r="T402" s="75"/>
      <c r="U402" s="75"/>
      <c r="V402" s="77"/>
      <c r="W402" s="75"/>
      <c r="X402" s="75"/>
      <c r="Y402" s="75"/>
      <c r="Z402" s="78"/>
      <c r="AA402" s="78"/>
      <c r="AB402" s="75"/>
      <c r="AJ402" s="72"/>
    </row>
    <row r="403" spans="1:36" s="69" customFormat="1" x14ac:dyDescent="0.25">
      <c r="A403" s="75"/>
      <c r="B403" s="75"/>
      <c r="C403" s="76"/>
      <c r="D403" s="76"/>
      <c r="E403" s="75"/>
      <c r="F403" s="75"/>
      <c r="G403" s="75"/>
      <c r="H403" s="75"/>
      <c r="I403" s="75"/>
      <c r="J403" s="75"/>
      <c r="K403" s="75"/>
      <c r="L403" s="75"/>
      <c r="M403" s="75"/>
      <c r="N403" s="75"/>
      <c r="O403" s="75"/>
      <c r="P403" s="75"/>
      <c r="Q403" s="75"/>
      <c r="R403" s="75"/>
      <c r="S403" s="75"/>
      <c r="T403" s="75"/>
      <c r="U403" s="75"/>
      <c r="V403" s="77"/>
      <c r="W403" s="75"/>
      <c r="X403" s="75"/>
      <c r="Y403" s="75"/>
      <c r="Z403" s="78"/>
      <c r="AA403" s="78"/>
      <c r="AB403" s="75"/>
      <c r="AJ403" s="72"/>
    </row>
    <row r="404" spans="1:36" s="69" customFormat="1" x14ac:dyDescent="0.25">
      <c r="A404" s="75"/>
      <c r="B404" s="75"/>
      <c r="C404" s="76"/>
      <c r="D404" s="76"/>
      <c r="E404" s="75"/>
      <c r="F404" s="75"/>
      <c r="G404" s="75"/>
      <c r="H404" s="75"/>
      <c r="I404" s="75"/>
      <c r="J404" s="75"/>
      <c r="K404" s="75"/>
      <c r="L404" s="75"/>
      <c r="M404" s="75"/>
      <c r="N404" s="75"/>
      <c r="O404" s="75"/>
      <c r="P404" s="75"/>
      <c r="Q404" s="75"/>
      <c r="R404" s="75"/>
      <c r="S404" s="75"/>
      <c r="T404" s="75"/>
      <c r="U404" s="75"/>
      <c r="V404" s="77"/>
      <c r="W404" s="75"/>
      <c r="X404" s="75"/>
      <c r="Y404" s="75"/>
      <c r="Z404" s="78"/>
      <c r="AA404" s="78"/>
      <c r="AB404" s="75"/>
      <c r="AJ404" s="72"/>
    </row>
    <row r="405" spans="1:36" s="69" customFormat="1" x14ac:dyDescent="0.25">
      <c r="A405" s="75"/>
      <c r="B405" s="75"/>
      <c r="C405" s="76"/>
      <c r="D405" s="76"/>
      <c r="E405" s="75"/>
      <c r="F405" s="75"/>
      <c r="G405" s="75"/>
      <c r="H405" s="75"/>
      <c r="I405" s="75"/>
      <c r="J405" s="75"/>
      <c r="K405" s="75"/>
      <c r="L405" s="75"/>
      <c r="M405" s="75"/>
      <c r="N405" s="75"/>
      <c r="O405" s="75"/>
      <c r="P405" s="75"/>
      <c r="Q405" s="75"/>
      <c r="R405" s="75"/>
      <c r="S405" s="75"/>
      <c r="T405" s="75"/>
      <c r="U405" s="75"/>
      <c r="V405" s="77"/>
      <c r="W405" s="75"/>
      <c r="X405" s="75"/>
      <c r="Y405" s="75"/>
      <c r="Z405" s="78"/>
      <c r="AA405" s="78"/>
      <c r="AB405" s="75"/>
      <c r="AJ405" s="72"/>
    </row>
    <row r="406" spans="1:36" s="69" customFormat="1" x14ac:dyDescent="0.25">
      <c r="A406" s="75"/>
      <c r="B406" s="75"/>
      <c r="C406" s="76"/>
      <c r="D406" s="76"/>
      <c r="E406" s="75"/>
      <c r="F406" s="75"/>
      <c r="G406" s="75"/>
      <c r="H406" s="75"/>
      <c r="I406" s="75"/>
      <c r="J406" s="75"/>
      <c r="K406" s="75"/>
      <c r="L406" s="75"/>
      <c r="M406" s="75"/>
      <c r="N406" s="75"/>
      <c r="O406" s="75"/>
      <c r="P406" s="75"/>
      <c r="Q406" s="75"/>
      <c r="R406" s="75"/>
      <c r="S406" s="75"/>
      <c r="T406" s="75"/>
      <c r="U406" s="75"/>
      <c r="V406" s="77"/>
      <c r="W406" s="75"/>
      <c r="X406" s="75"/>
      <c r="Y406" s="75"/>
      <c r="Z406" s="78"/>
      <c r="AA406" s="78"/>
      <c r="AB406" s="75"/>
      <c r="AJ406" s="72"/>
    </row>
    <row r="407" spans="1:36" s="69" customFormat="1" x14ac:dyDescent="0.25">
      <c r="A407" s="75"/>
      <c r="B407" s="75"/>
      <c r="C407" s="76"/>
      <c r="D407" s="76"/>
      <c r="E407" s="75"/>
      <c r="F407" s="75"/>
      <c r="G407" s="75"/>
      <c r="H407" s="75"/>
      <c r="I407" s="75"/>
      <c r="J407" s="75"/>
      <c r="K407" s="75"/>
      <c r="L407" s="75"/>
      <c r="M407" s="75"/>
      <c r="N407" s="75"/>
      <c r="O407" s="75"/>
      <c r="P407" s="75"/>
      <c r="Q407" s="75"/>
      <c r="R407" s="75"/>
      <c r="S407" s="75"/>
      <c r="T407" s="75"/>
      <c r="U407" s="75"/>
      <c r="V407" s="77"/>
      <c r="W407" s="75"/>
      <c r="X407" s="75"/>
      <c r="Y407" s="75"/>
      <c r="Z407" s="78"/>
      <c r="AA407" s="78"/>
      <c r="AB407" s="75"/>
      <c r="AJ407" s="72"/>
    </row>
    <row r="408" spans="1:36" s="69" customFormat="1" x14ac:dyDescent="0.25">
      <c r="A408" s="75"/>
      <c r="B408" s="75"/>
      <c r="C408" s="76"/>
      <c r="D408" s="76"/>
      <c r="E408" s="75"/>
      <c r="F408" s="75"/>
      <c r="G408" s="75"/>
      <c r="H408" s="75"/>
      <c r="I408" s="75"/>
      <c r="J408" s="75"/>
      <c r="K408" s="75"/>
      <c r="L408" s="75"/>
      <c r="M408" s="75"/>
      <c r="N408" s="75"/>
      <c r="O408" s="75"/>
      <c r="P408" s="75"/>
      <c r="Q408" s="75"/>
      <c r="R408" s="75"/>
      <c r="S408" s="75"/>
      <c r="T408" s="75"/>
      <c r="U408" s="75"/>
      <c r="V408" s="77"/>
      <c r="W408" s="75"/>
      <c r="X408" s="75"/>
      <c r="Y408" s="75"/>
      <c r="Z408" s="78"/>
      <c r="AA408" s="78"/>
      <c r="AB408" s="75"/>
      <c r="AJ408" s="72"/>
    </row>
    <row r="409" spans="1:36" s="69" customFormat="1" x14ac:dyDescent="0.25">
      <c r="A409" s="75"/>
      <c r="B409" s="75"/>
      <c r="C409" s="76"/>
      <c r="D409" s="76"/>
      <c r="E409" s="75"/>
      <c r="F409" s="75"/>
      <c r="G409" s="75"/>
      <c r="H409" s="75"/>
      <c r="I409" s="75"/>
      <c r="J409" s="75"/>
      <c r="K409" s="75"/>
      <c r="L409" s="75"/>
      <c r="M409" s="75"/>
      <c r="N409" s="75"/>
      <c r="O409" s="75"/>
      <c r="P409" s="75"/>
      <c r="Q409" s="75"/>
      <c r="R409" s="75"/>
      <c r="S409" s="75"/>
      <c r="T409" s="75"/>
      <c r="U409" s="75"/>
      <c r="V409" s="77"/>
      <c r="W409" s="75"/>
      <c r="X409" s="75"/>
      <c r="Y409" s="75"/>
      <c r="Z409" s="78"/>
      <c r="AA409" s="78"/>
      <c r="AB409" s="75"/>
      <c r="AJ409" s="72"/>
    </row>
    <row r="410" spans="1:36" s="69" customFormat="1" x14ac:dyDescent="0.25">
      <c r="A410" s="75"/>
      <c r="B410" s="75"/>
      <c r="C410" s="76"/>
      <c r="D410" s="76"/>
      <c r="E410" s="75"/>
      <c r="F410" s="75"/>
      <c r="G410" s="75"/>
      <c r="H410" s="75"/>
      <c r="I410" s="75"/>
      <c r="J410" s="75"/>
      <c r="K410" s="75"/>
      <c r="L410" s="75"/>
      <c r="M410" s="75"/>
      <c r="N410" s="75"/>
      <c r="O410" s="75"/>
      <c r="P410" s="75"/>
      <c r="Q410" s="75"/>
      <c r="R410" s="75"/>
      <c r="S410" s="75"/>
      <c r="T410" s="75"/>
      <c r="U410" s="75"/>
      <c r="V410" s="77"/>
      <c r="W410" s="75"/>
      <c r="X410" s="75"/>
      <c r="Y410" s="75"/>
      <c r="Z410" s="78"/>
      <c r="AA410" s="78"/>
      <c r="AB410" s="75"/>
      <c r="AJ410" s="72"/>
    </row>
    <row r="411" spans="1:36" s="69" customFormat="1" x14ac:dyDescent="0.25">
      <c r="A411" s="75"/>
      <c r="B411" s="75"/>
      <c r="C411" s="76"/>
      <c r="D411" s="76"/>
      <c r="E411" s="75"/>
      <c r="F411" s="75"/>
      <c r="G411" s="75"/>
      <c r="H411" s="75"/>
      <c r="I411" s="75"/>
      <c r="J411" s="75"/>
      <c r="K411" s="75"/>
      <c r="L411" s="75"/>
      <c r="M411" s="75"/>
      <c r="N411" s="75"/>
      <c r="O411" s="75"/>
      <c r="P411" s="75"/>
      <c r="Q411" s="75"/>
      <c r="R411" s="75"/>
      <c r="S411" s="75"/>
      <c r="T411" s="75"/>
      <c r="U411" s="75"/>
      <c r="V411" s="77"/>
      <c r="W411" s="75"/>
      <c r="X411" s="75"/>
      <c r="Y411" s="75"/>
      <c r="Z411" s="78"/>
      <c r="AA411" s="78"/>
      <c r="AB411" s="75"/>
      <c r="AJ411" s="72"/>
    </row>
    <row r="412" spans="1:36" s="69" customFormat="1" x14ac:dyDescent="0.25">
      <c r="A412" s="75"/>
      <c r="B412" s="75"/>
      <c r="C412" s="76"/>
      <c r="D412" s="76"/>
      <c r="E412" s="75"/>
      <c r="F412" s="75"/>
      <c r="G412" s="75"/>
      <c r="H412" s="75"/>
      <c r="I412" s="75"/>
      <c r="J412" s="75"/>
      <c r="K412" s="75"/>
      <c r="L412" s="75"/>
      <c r="M412" s="75"/>
      <c r="N412" s="75"/>
      <c r="O412" s="75"/>
      <c r="P412" s="75"/>
      <c r="Q412" s="75"/>
      <c r="R412" s="75"/>
      <c r="S412" s="75"/>
      <c r="T412" s="75"/>
      <c r="U412" s="75"/>
      <c r="V412" s="77"/>
      <c r="W412" s="75"/>
      <c r="X412" s="75"/>
      <c r="Y412" s="75"/>
      <c r="Z412" s="78"/>
      <c r="AA412" s="78"/>
      <c r="AB412" s="75"/>
      <c r="AJ412" s="72"/>
    </row>
    <row r="413" spans="1:36" s="69" customFormat="1" x14ac:dyDescent="0.25">
      <c r="A413" s="75"/>
      <c r="B413" s="75"/>
      <c r="C413" s="76"/>
      <c r="D413" s="76"/>
      <c r="E413" s="75"/>
      <c r="F413" s="75"/>
      <c r="G413" s="75"/>
      <c r="H413" s="75"/>
      <c r="I413" s="75"/>
      <c r="J413" s="75"/>
      <c r="K413" s="75"/>
      <c r="L413" s="75"/>
      <c r="M413" s="75"/>
      <c r="N413" s="75"/>
      <c r="O413" s="75"/>
      <c r="P413" s="75"/>
      <c r="Q413" s="75"/>
      <c r="R413" s="75"/>
      <c r="S413" s="75"/>
      <c r="T413" s="75"/>
      <c r="U413" s="75"/>
      <c r="V413" s="77"/>
      <c r="W413" s="75"/>
      <c r="X413" s="75"/>
      <c r="Y413" s="75"/>
      <c r="Z413" s="78"/>
      <c r="AA413" s="78"/>
      <c r="AB413" s="75"/>
      <c r="AJ413" s="72"/>
    </row>
    <row r="414" spans="1:36" s="69" customFormat="1" x14ac:dyDescent="0.25">
      <c r="A414" s="75"/>
      <c r="B414" s="75"/>
      <c r="C414" s="76"/>
      <c r="D414" s="76"/>
      <c r="E414" s="75"/>
      <c r="F414" s="75"/>
      <c r="G414" s="75"/>
      <c r="H414" s="75"/>
      <c r="I414" s="75"/>
      <c r="J414" s="75"/>
      <c r="K414" s="75"/>
      <c r="L414" s="75"/>
      <c r="M414" s="75"/>
      <c r="N414" s="75"/>
      <c r="O414" s="75"/>
      <c r="P414" s="75"/>
      <c r="Q414" s="75"/>
      <c r="R414" s="75"/>
      <c r="S414" s="75"/>
      <c r="T414" s="75"/>
      <c r="U414" s="75"/>
      <c r="V414" s="77"/>
      <c r="W414" s="75"/>
      <c r="X414" s="75"/>
      <c r="Y414" s="75"/>
      <c r="Z414" s="78"/>
      <c r="AA414" s="78"/>
      <c r="AB414" s="75"/>
      <c r="AJ414" s="72"/>
    </row>
    <row r="415" spans="1:36" s="69" customFormat="1" x14ac:dyDescent="0.25">
      <c r="A415" s="75"/>
      <c r="B415" s="75"/>
      <c r="C415" s="76"/>
      <c r="D415" s="76"/>
      <c r="E415" s="75"/>
      <c r="F415" s="75"/>
      <c r="G415" s="75"/>
      <c r="H415" s="75"/>
      <c r="I415" s="75"/>
      <c r="J415" s="75"/>
      <c r="K415" s="75"/>
      <c r="L415" s="75"/>
      <c r="M415" s="75"/>
      <c r="N415" s="75"/>
      <c r="O415" s="75"/>
      <c r="P415" s="75"/>
      <c r="Q415" s="75"/>
      <c r="R415" s="75"/>
      <c r="S415" s="75"/>
      <c r="T415" s="75"/>
      <c r="U415" s="75"/>
      <c r="V415" s="77"/>
      <c r="W415" s="75"/>
      <c r="X415" s="75"/>
      <c r="Y415" s="75"/>
      <c r="Z415" s="78"/>
      <c r="AA415" s="78"/>
      <c r="AB415" s="75"/>
      <c r="AJ415" s="72"/>
    </row>
    <row r="416" spans="1:36" s="69" customFormat="1" x14ac:dyDescent="0.25">
      <c r="A416" s="75"/>
      <c r="B416" s="75"/>
      <c r="C416" s="76"/>
      <c r="D416" s="76"/>
      <c r="E416" s="75"/>
      <c r="F416" s="75"/>
      <c r="G416" s="75"/>
      <c r="H416" s="75"/>
      <c r="I416" s="75"/>
      <c r="J416" s="75"/>
      <c r="K416" s="75"/>
      <c r="L416" s="75"/>
      <c r="M416" s="75"/>
      <c r="N416" s="75"/>
      <c r="O416" s="75"/>
      <c r="P416" s="75"/>
      <c r="Q416" s="75"/>
      <c r="R416" s="75"/>
      <c r="S416" s="75"/>
      <c r="T416" s="75"/>
      <c r="U416" s="75"/>
      <c r="V416" s="77"/>
      <c r="W416" s="75"/>
      <c r="X416" s="75"/>
      <c r="Y416" s="75"/>
      <c r="Z416" s="78"/>
      <c r="AA416" s="78"/>
      <c r="AB416" s="75"/>
      <c r="AJ416" s="72"/>
    </row>
    <row r="417" spans="1:36" s="69" customFormat="1" x14ac:dyDescent="0.25">
      <c r="A417" s="75"/>
      <c r="B417" s="75"/>
      <c r="C417" s="76"/>
      <c r="D417" s="76"/>
      <c r="E417" s="75"/>
      <c r="F417" s="75"/>
      <c r="G417" s="75"/>
      <c r="H417" s="75"/>
      <c r="I417" s="75"/>
      <c r="J417" s="75"/>
      <c r="K417" s="75"/>
      <c r="L417" s="75"/>
      <c r="M417" s="75"/>
      <c r="N417" s="75"/>
      <c r="O417" s="75"/>
      <c r="P417" s="75"/>
      <c r="Q417" s="75"/>
      <c r="R417" s="75"/>
      <c r="S417" s="75"/>
      <c r="T417" s="75"/>
      <c r="U417" s="75"/>
      <c r="V417" s="77"/>
      <c r="W417" s="75"/>
      <c r="X417" s="75"/>
      <c r="Y417" s="75"/>
      <c r="Z417" s="78"/>
      <c r="AA417" s="78"/>
      <c r="AB417" s="75"/>
      <c r="AJ417" s="72"/>
    </row>
    <row r="418" spans="1:36" s="69" customFormat="1" x14ac:dyDescent="0.25">
      <c r="A418" s="75"/>
      <c r="B418" s="75"/>
      <c r="C418" s="76"/>
      <c r="D418" s="76"/>
      <c r="E418" s="75"/>
      <c r="F418" s="75"/>
      <c r="G418" s="75"/>
      <c r="H418" s="75"/>
      <c r="I418" s="75"/>
      <c r="J418" s="75"/>
      <c r="K418" s="75"/>
      <c r="L418" s="75"/>
      <c r="M418" s="75"/>
      <c r="N418" s="75"/>
      <c r="O418" s="75"/>
      <c r="P418" s="75"/>
      <c r="Q418" s="75"/>
      <c r="R418" s="75"/>
      <c r="S418" s="75"/>
      <c r="T418" s="75"/>
      <c r="U418" s="75"/>
      <c r="V418" s="77"/>
      <c r="W418" s="75"/>
      <c r="X418" s="75"/>
      <c r="Y418" s="75"/>
      <c r="Z418" s="78"/>
      <c r="AA418" s="78"/>
      <c r="AB418" s="75"/>
      <c r="AJ418" s="72"/>
    </row>
    <row r="419" spans="1:36" s="69" customFormat="1" x14ac:dyDescent="0.25">
      <c r="A419" s="75"/>
      <c r="B419" s="75"/>
      <c r="C419" s="76"/>
      <c r="D419" s="76"/>
      <c r="E419" s="75"/>
      <c r="F419" s="75"/>
      <c r="G419" s="75"/>
      <c r="H419" s="75"/>
      <c r="I419" s="75"/>
      <c r="J419" s="75"/>
      <c r="K419" s="75"/>
      <c r="L419" s="75"/>
      <c r="M419" s="75"/>
      <c r="N419" s="75"/>
      <c r="O419" s="75"/>
      <c r="P419" s="75"/>
      <c r="Q419" s="75"/>
      <c r="R419" s="75"/>
      <c r="S419" s="75"/>
      <c r="T419" s="75"/>
      <c r="U419" s="75"/>
      <c r="V419" s="77"/>
      <c r="W419" s="75"/>
      <c r="X419" s="75"/>
      <c r="Y419" s="75"/>
      <c r="Z419" s="78"/>
      <c r="AA419" s="78"/>
      <c r="AB419" s="75"/>
      <c r="AJ419" s="72"/>
    </row>
    <row r="420" spans="1:36" s="69" customFormat="1" x14ac:dyDescent="0.25">
      <c r="A420" s="75"/>
      <c r="B420" s="75"/>
      <c r="C420" s="76"/>
      <c r="D420" s="76"/>
      <c r="E420" s="75"/>
      <c r="F420" s="75"/>
      <c r="G420" s="75"/>
      <c r="H420" s="75"/>
      <c r="I420" s="75"/>
      <c r="J420" s="75"/>
      <c r="K420" s="75"/>
      <c r="L420" s="75"/>
      <c r="M420" s="75"/>
      <c r="N420" s="75"/>
      <c r="O420" s="75"/>
      <c r="P420" s="75"/>
      <c r="Q420" s="75"/>
      <c r="R420" s="75"/>
      <c r="S420" s="75"/>
      <c r="T420" s="75"/>
      <c r="U420" s="75"/>
      <c r="V420" s="77"/>
      <c r="W420" s="75"/>
      <c r="X420" s="75"/>
      <c r="Y420" s="75"/>
      <c r="Z420" s="78"/>
      <c r="AA420" s="78"/>
      <c r="AB420" s="75"/>
      <c r="AJ420" s="72"/>
    </row>
    <row r="421" spans="1:36" s="69" customFormat="1" x14ac:dyDescent="0.25">
      <c r="A421" s="75"/>
      <c r="B421" s="75"/>
      <c r="C421" s="76"/>
      <c r="D421" s="76"/>
      <c r="E421" s="75"/>
      <c r="F421" s="75"/>
      <c r="G421" s="75"/>
      <c r="H421" s="75"/>
      <c r="I421" s="75"/>
      <c r="J421" s="75"/>
      <c r="K421" s="75"/>
      <c r="L421" s="75"/>
      <c r="M421" s="75"/>
      <c r="N421" s="75"/>
      <c r="O421" s="75"/>
      <c r="P421" s="75"/>
      <c r="Q421" s="75"/>
      <c r="R421" s="75"/>
      <c r="S421" s="75"/>
      <c r="T421" s="75"/>
      <c r="U421" s="75"/>
      <c r="V421" s="77"/>
      <c r="W421" s="75"/>
      <c r="X421" s="75"/>
      <c r="Y421" s="75"/>
      <c r="Z421" s="78"/>
      <c r="AA421" s="78"/>
      <c r="AB421" s="75"/>
      <c r="AJ421" s="72"/>
    </row>
    <row r="422" spans="1:36" s="69" customFormat="1" x14ac:dyDescent="0.25">
      <c r="A422" s="75"/>
      <c r="B422" s="75"/>
      <c r="C422" s="76"/>
      <c r="D422" s="76"/>
      <c r="E422" s="75"/>
      <c r="F422" s="75"/>
      <c r="G422" s="75"/>
      <c r="H422" s="75"/>
      <c r="I422" s="75"/>
      <c r="J422" s="75"/>
      <c r="K422" s="75"/>
      <c r="L422" s="75"/>
      <c r="M422" s="75"/>
      <c r="N422" s="75"/>
      <c r="O422" s="75"/>
      <c r="P422" s="75"/>
      <c r="Q422" s="75"/>
      <c r="R422" s="75"/>
      <c r="S422" s="75"/>
      <c r="T422" s="75"/>
      <c r="U422" s="75"/>
      <c r="V422" s="77"/>
      <c r="W422" s="75"/>
      <c r="X422" s="75"/>
      <c r="Y422" s="75"/>
      <c r="Z422" s="78"/>
      <c r="AA422" s="78"/>
      <c r="AB422" s="75"/>
      <c r="AJ422" s="72"/>
    </row>
    <row r="423" spans="1:36" s="69" customFormat="1" x14ac:dyDescent="0.25">
      <c r="A423" s="75"/>
      <c r="B423" s="75"/>
      <c r="C423" s="76"/>
      <c r="D423" s="76"/>
      <c r="E423" s="75"/>
      <c r="F423" s="75"/>
      <c r="G423" s="75"/>
      <c r="H423" s="75"/>
      <c r="I423" s="75"/>
      <c r="J423" s="75"/>
      <c r="K423" s="75"/>
      <c r="L423" s="75"/>
      <c r="M423" s="75"/>
      <c r="N423" s="75"/>
      <c r="O423" s="75"/>
      <c r="P423" s="75"/>
      <c r="Q423" s="75"/>
      <c r="R423" s="75"/>
      <c r="S423" s="75"/>
      <c r="T423" s="75"/>
      <c r="U423" s="75"/>
      <c r="V423" s="77"/>
      <c r="W423" s="75"/>
      <c r="X423" s="75"/>
      <c r="Y423" s="75"/>
      <c r="Z423" s="78"/>
      <c r="AA423" s="78"/>
      <c r="AB423" s="75"/>
      <c r="AJ423" s="72"/>
    </row>
    <row r="424" spans="1:36" s="69" customFormat="1" x14ac:dyDescent="0.25">
      <c r="A424" s="75"/>
      <c r="B424" s="75"/>
      <c r="C424" s="76"/>
      <c r="D424" s="76"/>
      <c r="E424" s="75"/>
      <c r="F424" s="75"/>
      <c r="G424" s="75"/>
      <c r="H424" s="75"/>
      <c r="I424" s="75"/>
      <c r="J424" s="75"/>
      <c r="K424" s="75"/>
      <c r="L424" s="75"/>
      <c r="M424" s="75"/>
      <c r="N424" s="75"/>
      <c r="O424" s="75"/>
      <c r="P424" s="75"/>
      <c r="Q424" s="75"/>
      <c r="R424" s="75"/>
      <c r="S424" s="75"/>
      <c r="T424" s="75"/>
      <c r="U424" s="75"/>
      <c r="V424" s="77"/>
      <c r="W424" s="75"/>
      <c r="X424" s="75"/>
      <c r="Y424" s="75"/>
      <c r="Z424" s="78"/>
      <c r="AA424" s="78"/>
      <c r="AB424" s="75"/>
      <c r="AJ424" s="72"/>
    </row>
    <row r="425" spans="1:36" s="69" customFormat="1" x14ac:dyDescent="0.25">
      <c r="A425" s="75"/>
      <c r="B425" s="75"/>
      <c r="C425" s="76"/>
      <c r="D425" s="76"/>
      <c r="E425" s="75"/>
      <c r="F425" s="75"/>
      <c r="G425" s="75"/>
      <c r="H425" s="75"/>
      <c r="I425" s="75"/>
      <c r="J425" s="75"/>
      <c r="K425" s="75"/>
      <c r="L425" s="75"/>
      <c r="M425" s="75"/>
      <c r="N425" s="75"/>
      <c r="O425" s="75"/>
      <c r="P425" s="75"/>
      <c r="Q425" s="75"/>
      <c r="R425" s="75"/>
      <c r="S425" s="75"/>
      <c r="T425" s="75"/>
      <c r="U425" s="75"/>
      <c r="V425" s="77"/>
      <c r="W425" s="75"/>
      <c r="X425" s="75"/>
      <c r="Y425" s="75"/>
      <c r="Z425" s="78"/>
      <c r="AA425" s="78"/>
      <c r="AB425" s="75"/>
      <c r="AJ425" s="72"/>
    </row>
    <row r="426" spans="1:36" s="69" customFormat="1" x14ac:dyDescent="0.25">
      <c r="A426" s="75"/>
      <c r="B426" s="75"/>
      <c r="C426" s="76"/>
      <c r="D426" s="76"/>
      <c r="E426" s="75"/>
      <c r="F426" s="75"/>
      <c r="G426" s="75"/>
      <c r="H426" s="75"/>
      <c r="I426" s="75"/>
      <c r="J426" s="75"/>
      <c r="K426" s="75"/>
      <c r="L426" s="75"/>
      <c r="M426" s="75"/>
      <c r="N426" s="75"/>
      <c r="O426" s="75"/>
      <c r="P426" s="75"/>
      <c r="Q426" s="75"/>
      <c r="R426" s="75"/>
      <c r="S426" s="75"/>
      <c r="T426" s="75"/>
      <c r="U426" s="75"/>
      <c r="V426" s="77"/>
      <c r="W426" s="75"/>
      <c r="X426" s="75"/>
      <c r="Y426" s="75"/>
      <c r="Z426" s="78"/>
      <c r="AA426" s="78"/>
      <c r="AB426" s="75"/>
      <c r="AJ426" s="72"/>
    </row>
    <row r="427" spans="1:36" s="69" customFormat="1" x14ac:dyDescent="0.25">
      <c r="A427" s="75"/>
      <c r="B427" s="75"/>
      <c r="C427" s="76"/>
      <c r="D427" s="76"/>
      <c r="E427" s="75"/>
      <c r="F427" s="75"/>
      <c r="G427" s="75"/>
      <c r="H427" s="75"/>
      <c r="I427" s="75"/>
      <c r="J427" s="75"/>
      <c r="K427" s="75"/>
      <c r="L427" s="75"/>
      <c r="M427" s="75"/>
      <c r="N427" s="75"/>
      <c r="O427" s="75"/>
      <c r="P427" s="75"/>
      <c r="Q427" s="75"/>
      <c r="R427" s="75"/>
      <c r="S427" s="75"/>
      <c r="T427" s="75"/>
      <c r="U427" s="75"/>
      <c r="V427" s="77"/>
      <c r="W427" s="75"/>
      <c r="X427" s="75"/>
      <c r="Y427" s="75"/>
      <c r="Z427" s="78"/>
      <c r="AA427" s="78"/>
      <c r="AB427" s="75"/>
      <c r="AJ427" s="72"/>
    </row>
    <row r="428" spans="1:36" s="69" customFormat="1" x14ac:dyDescent="0.25">
      <c r="A428" s="75"/>
      <c r="B428" s="75"/>
      <c r="C428" s="76"/>
      <c r="D428" s="76"/>
      <c r="E428" s="75"/>
      <c r="F428" s="75"/>
      <c r="G428" s="75"/>
      <c r="H428" s="75"/>
      <c r="I428" s="75"/>
      <c r="J428" s="75"/>
      <c r="K428" s="75"/>
      <c r="L428" s="75"/>
      <c r="M428" s="75"/>
      <c r="N428" s="75"/>
      <c r="O428" s="75"/>
      <c r="P428" s="75"/>
      <c r="Q428" s="75"/>
      <c r="R428" s="75"/>
      <c r="S428" s="75"/>
      <c r="T428" s="75"/>
      <c r="U428" s="75"/>
      <c r="V428" s="77"/>
      <c r="W428" s="75"/>
      <c r="X428" s="75"/>
      <c r="Y428" s="75"/>
      <c r="Z428" s="78"/>
      <c r="AA428" s="78"/>
      <c r="AB428" s="75"/>
      <c r="AJ428" s="72"/>
    </row>
    <row r="429" spans="1:36" s="69" customFormat="1" x14ac:dyDescent="0.25">
      <c r="A429" s="75"/>
      <c r="B429" s="75"/>
      <c r="C429" s="76"/>
      <c r="D429" s="76"/>
      <c r="E429" s="75"/>
      <c r="F429" s="75"/>
      <c r="G429" s="75"/>
      <c r="H429" s="75"/>
      <c r="I429" s="75"/>
      <c r="J429" s="75"/>
      <c r="K429" s="75"/>
      <c r="L429" s="75"/>
      <c r="M429" s="75"/>
      <c r="N429" s="75"/>
      <c r="O429" s="75"/>
      <c r="P429" s="75"/>
      <c r="Q429" s="75"/>
      <c r="R429" s="75"/>
      <c r="S429" s="75"/>
      <c r="T429" s="75"/>
      <c r="U429" s="75"/>
      <c r="V429" s="77"/>
      <c r="W429" s="75"/>
      <c r="X429" s="75"/>
      <c r="Y429" s="75"/>
      <c r="Z429" s="78"/>
      <c r="AA429" s="78"/>
      <c r="AB429" s="75"/>
      <c r="AJ429" s="72"/>
    </row>
    <row r="430" spans="1:36" s="69" customFormat="1" x14ac:dyDescent="0.25">
      <c r="A430" s="75"/>
      <c r="B430" s="75"/>
      <c r="C430" s="76"/>
      <c r="D430" s="76"/>
      <c r="E430" s="75"/>
      <c r="F430" s="75"/>
      <c r="G430" s="75"/>
      <c r="H430" s="75"/>
      <c r="I430" s="75"/>
      <c r="J430" s="75"/>
      <c r="K430" s="75"/>
      <c r="L430" s="75"/>
      <c r="M430" s="75"/>
      <c r="N430" s="75"/>
      <c r="O430" s="75"/>
      <c r="P430" s="75"/>
      <c r="Q430" s="75"/>
      <c r="R430" s="75"/>
      <c r="S430" s="75"/>
      <c r="T430" s="75"/>
      <c r="U430" s="75"/>
      <c r="V430" s="77"/>
      <c r="W430" s="75"/>
      <c r="X430" s="75"/>
      <c r="Y430" s="75"/>
      <c r="Z430" s="78"/>
      <c r="AA430" s="78"/>
      <c r="AB430" s="75"/>
      <c r="AJ430" s="72"/>
    </row>
    <row r="431" spans="1:36" s="69" customFormat="1" x14ac:dyDescent="0.25">
      <c r="A431" s="75"/>
      <c r="B431" s="75"/>
      <c r="C431" s="76"/>
      <c r="D431" s="76"/>
      <c r="E431" s="75"/>
      <c r="F431" s="75"/>
      <c r="G431" s="75"/>
      <c r="H431" s="75"/>
      <c r="I431" s="75"/>
      <c r="J431" s="75"/>
      <c r="K431" s="75"/>
      <c r="L431" s="75"/>
      <c r="M431" s="75"/>
      <c r="N431" s="75"/>
      <c r="O431" s="75"/>
      <c r="P431" s="75"/>
      <c r="Q431" s="75"/>
      <c r="R431" s="75"/>
      <c r="S431" s="75"/>
      <c r="T431" s="75"/>
      <c r="U431" s="75"/>
      <c r="V431" s="77"/>
      <c r="W431" s="75"/>
      <c r="X431" s="75"/>
      <c r="Y431" s="75"/>
      <c r="Z431" s="78"/>
      <c r="AA431" s="78"/>
      <c r="AB431" s="75"/>
      <c r="AJ431" s="72"/>
    </row>
    <row r="432" spans="1:36" s="69" customFormat="1" x14ac:dyDescent="0.25">
      <c r="A432" s="75"/>
      <c r="B432" s="75"/>
      <c r="C432" s="76"/>
      <c r="D432" s="76"/>
      <c r="E432" s="75"/>
      <c r="F432" s="75"/>
      <c r="G432" s="75"/>
      <c r="H432" s="75"/>
      <c r="I432" s="75"/>
      <c r="J432" s="75"/>
      <c r="K432" s="75"/>
      <c r="L432" s="75"/>
      <c r="M432" s="75"/>
      <c r="N432" s="75"/>
      <c r="O432" s="75"/>
      <c r="P432" s="75"/>
      <c r="Q432" s="75"/>
      <c r="R432" s="75"/>
      <c r="S432" s="75"/>
      <c r="T432" s="75"/>
      <c r="U432" s="75"/>
      <c r="V432" s="77"/>
      <c r="W432" s="75"/>
      <c r="X432" s="75"/>
      <c r="Y432" s="75"/>
      <c r="Z432" s="78"/>
      <c r="AA432" s="78"/>
      <c r="AB432" s="75"/>
      <c r="AJ432" s="72"/>
    </row>
    <row r="433" spans="1:36" s="69" customFormat="1" x14ac:dyDescent="0.25">
      <c r="A433" s="75"/>
      <c r="B433" s="75"/>
      <c r="C433" s="76"/>
      <c r="D433" s="76"/>
      <c r="E433" s="75"/>
      <c r="F433" s="75"/>
      <c r="G433" s="75"/>
      <c r="H433" s="75"/>
      <c r="I433" s="75"/>
      <c r="J433" s="75"/>
      <c r="K433" s="75"/>
      <c r="L433" s="75"/>
      <c r="M433" s="75"/>
      <c r="N433" s="75"/>
      <c r="O433" s="75"/>
      <c r="P433" s="75"/>
      <c r="Q433" s="75"/>
      <c r="R433" s="75"/>
      <c r="S433" s="75"/>
      <c r="T433" s="75"/>
      <c r="U433" s="75"/>
      <c r="V433" s="77"/>
      <c r="W433" s="75"/>
      <c r="X433" s="75"/>
      <c r="Y433" s="75"/>
      <c r="Z433" s="78"/>
      <c r="AA433" s="78"/>
      <c r="AB433" s="75"/>
      <c r="AJ433" s="72"/>
    </row>
    <row r="434" spans="1:36" s="69" customFormat="1" x14ac:dyDescent="0.25">
      <c r="A434" s="75"/>
      <c r="B434" s="75"/>
      <c r="C434" s="76"/>
      <c r="D434" s="76"/>
      <c r="E434" s="75"/>
      <c r="F434" s="75"/>
      <c r="G434" s="75"/>
      <c r="H434" s="75"/>
      <c r="I434" s="75"/>
      <c r="J434" s="75"/>
      <c r="K434" s="75"/>
      <c r="L434" s="75"/>
      <c r="M434" s="75"/>
      <c r="N434" s="75"/>
      <c r="O434" s="75"/>
      <c r="P434" s="75"/>
      <c r="Q434" s="75"/>
      <c r="R434" s="75"/>
      <c r="S434" s="75"/>
      <c r="T434" s="75"/>
      <c r="U434" s="75"/>
      <c r="V434" s="77"/>
      <c r="W434" s="75"/>
      <c r="X434" s="75"/>
      <c r="Y434" s="75"/>
      <c r="Z434" s="78"/>
      <c r="AA434" s="78"/>
      <c r="AB434" s="75"/>
      <c r="AJ434" s="72"/>
    </row>
    <row r="435" spans="1:36" s="69" customFormat="1" x14ac:dyDescent="0.25">
      <c r="A435" s="75"/>
      <c r="B435" s="75"/>
      <c r="C435" s="76"/>
      <c r="D435" s="76"/>
      <c r="E435" s="75"/>
      <c r="F435" s="75"/>
      <c r="G435" s="75"/>
      <c r="H435" s="75"/>
      <c r="I435" s="75"/>
      <c r="J435" s="75"/>
      <c r="K435" s="75"/>
      <c r="L435" s="75"/>
      <c r="M435" s="75"/>
      <c r="N435" s="75"/>
      <c r="O435" s="75"/>
      <c r="P435" s="75"/>
      <c r="Q435" s="75"/>
      <c r="R435" s="75"/>
      <c r="S435" s="75"/>
      <c r="T435" s="75"/>
      <c r="U435" s="75"/>
      <c r="V435" s="77"/>
      <c r="W435" s="75"/>
      <c r="X435" s="75"/>
      <c r="Y435" s="75"/>
      <c r="Z435" s="78"/>
      <c r="AA435" s="78"/>
      <c r="AB435" s="75"/>
      <c r="AJ435" s="72"/>
    </row>
    <row r="436" spans="1:36" s="69" customFormat="1" x14ac:dyDescent="0.25">
      <c r="A436" s="75"/>
      <c r="B436" s="75"/>
      <c r="C436" s="76"/>
      <c r="D436" s="76"/>
      <c r="E436" s="75"/>
      <c r="F436" s="75"/>
      <c r="G436" s="75"/>
      <c r="H436" s="75"/>
      <c r="I436" s="75"/>
      <c r="J436" s="75"/>
      <c r="K436" s="75"/>
      <c r="L436" s="75"/>
      <c r="M436" s="75"/>
      <c r="N436" s="75"/>
      <c r="O436" s="75"/>
      <c r="P436" s="75"/>
      <c r="Q436" s="75"/>
      <c r="R436" s="75"/>
      <c r="S436" s="75"/>
      <c r="T436" s="75"/>
      <c r="U436" s="75"/>
      <c r="V436" s="77"/>
      <c r="W436" s="75"/>
      <c r="X436" s="75"/>
      <c r="Y436" s="75"/>
      <c r="Z436" s="78"/>
      <c r="AA436" s="78"/>
      <c r="AB436" s="75"/>
      <c r="AJ436" s="72"/>
    </row>
    <row r="437" spans="1:36" s="69" customFormat="1" x14ac:dyDescent="0.25">
      <c r="A437" s="75"/>
      <c r="B437" s="75"/>
      <c r="C437" s="76"/>
      <c r="D437" s="76"/>
      <c r="E437" s="75"/>
      <c r="F437" s="75"/>
      <c r="G437" s="75"/>
      <c r="H437" s="75"/>
      <c r="I437" s="75"/>
      <c r="J437" s="75"/>
      <c r="K437" s="75"/>
      <c r="L437" s="75"/>
      <c r="M437" s="75"/>
      <c r="N437" s="75"/>
      <c r="O437" s="75"/>
      <c r="P437" s="75"/>
      <c r="Q437" s="75"/>
      <c r="R437" s="75"/>
      <c r="S437" s="75"/>
      <c r="T437" s="75"/>
      <c r="U437" s="75"/>
      <c r="V437" s="77"/>
      <c r="W437" s="75"/>
      <c r="X437" s="75"/>
      <c r="Y437" s="75"/>
      <c r="Z437" s="78"/>
      <c r="AA437" s="78"/>
      <c r="AB437" s="75"/>
      <c r="AJ437" s="72"/>
    </row>
    <row r="438" spans="1:36" s="69" customFormat="1" x14ac:dyDescent="0.25">
      <c r="A438" s="75"/>
      <c r="B438" s="75"/>
      <c r="C438" s="76"/>
      <c r="D438" s="76"/>
      <c r="E438" s="75"/>
      <c r="F438" s="75"/>
      <c r="G438" s="75"/>
      <c r="H438" s="75"/>
      <c r="I438" s="75"/>
      <c r="J438" s="75"/>
      <c r="K438" s="75"/>
      <c r="L438" s="75"/>
      <c r="M438" s="75"/>
      <c r="N438" s="75"/>
      <c r="O438" s="75"/>
      <c r="P438" s="75"/>
      <c r="Q438" s="75"/>
      <c r="R438" s="75"/>
      <c r="S438" s="75"/>
      <c r="T438" s="75"/>
      <c r="U438" s="75"/>
      <c r="V438" s="77"/>
      <c r="W438" s="75"/>
      <c r="X438" s="75"/>
      <c r="Y438" s="75"/>
      <c r="Z438" s="78"/>
      <c r="AA438" s="78"/>
      <c r="AB438" s="75"/>
      <c r="AJ438" s="72"/>
    </row>
    <row r="439" spans="1:36" s="69" customFormat="1" x14ac:dyDescent="0.25">
      <c r="A439" s="75"/>
      <c r="B439" s="75"/>
      <c r="C439" s="76"/>
      <c r="D439" s="76"/>
      <c r="E439" s="75"/>
      <c r="F439" s="75"/>
      <c r="G439" s="75"/>
      <c r="H439" s="75"/>
      <c r="I439" s="75"/>
      <c r="J439" s="75"/>
      <c r="K439" s="75"/>
      <c r="L439" s="75"/>
      <c r="M439" s="75"/>
      <c r="N439" s="75"/>
      <c r="O439" s="75"/>
      <c r="P439" s="75"/>
      <c r="Q439" s="75"/>
      <c r="R439" s="75"/>
      <c r="S439" s="75"/>
      <c r="T439" s="75"/>
      <c r="U439" s="75"/>
      <c r="V439" s="77"/>
      <c r="W439" s="75"/>
      <c r="X439" s="75"/>
      <c r="Y439" s="75"/>
      <c r="Z439" s="78"/>
      <c r="AA439" s="78"/>
      <c r="AB439" s="75"/>
      <c r="AJ439" s="72"/>
    </row>
    <row r="440" spans="1:36" s="69" customFormat="1" x14ac:dyDescent="0.25">
      <c r="A440" s="75"/>
      <c r="B440" s="75"/>
      <c r="C440" s="76"/>
      <c r="D440" s="76"/>
      <c r="E440" s="75"/>
      <c r="F440" s="75"/>
      <c r="G440" s="75"/>
      <c r="H440" s="75"/>
      <c r="I440" s="75"/>
      <c r="J440" s="75"/>
      <c r="K440" s="75"/>
      <c r="L440" s="75"/>
      <c r="M440" s="75"/>
      <c r="N440" s="75"/>
      <c r="O440" s="75"/>
      <c r="P440" s="75"/>
      <c r="Q440" s="75"/>
      <c r="R440" s="75"/>
      <c r="S440" s="75"/>
      <c r="T440" s="75"/>
      <c r="U440" s="75"/>
      <c r="V440" s="77"/>
      <c r="W440" s="75"/>
      <c r="X440" s="75"/>
      <c r="Y440" s="75"/>
      <c r="Z440" s="78"/>
      <c r="AA440" s="78"/>
      <c r="AB440" s="75"/>
      <c r="AJ440" s="72"/>
    </row>
    <row r="441" spans="1:36" s="69" customFormat="1" x14ac:dyDescent="0.25">
      <c r="A441" s="75"/>
      <c r="B441" s="75"/>
      <c r="C441" s="76"/>
      <c r="D441" s="76"/>
      <c r="E441" s="75"/>
      <c r="F441" s="75"/>
      <c r="G441" s="75"/>
      <c r="H441" s="75"/>
      <c r="I441" s="75"/>
      <c r="J441" s="75"/>
      <c r="K441" s="75"/>
      <c r="L441" s="75"/>
      <c r="M441" s="75"/>
      <c r="N441" s="75"/>
      <c r="O441" s="75"/>
      <c r="P441" s="75"/>
      <c r="Q441" s="75"/>
      <c r="R441" s="75"/>
      <c r="S441" s="75"/>
      <c r="T441" s="75"/>
      <c r="U441" s="75"/>
      <c r="V441" s="77"/>
      <c r="W441" s="75"/>
      <c r="X441" s="75"/>
      <c r="Y441" s="75"/>
      <c r="Z441" s="78"/>
      <c r="AA441" s="78"/>
      <c r="AB441" s="75"/>
      <c r="AJ441" s="72"/>
    </row>
    <row r="442" spans="1:36" s="69" customFormat="1" x14ac:dyDescent="0.25">
      <c r="A442" s="75"/>
      <c r="B442" s="75"/>
      <c r="C442" s="76"/>
      <c r="D442" s="76"/>
      <c r="E442" s="75"/>
      <c r="F442" s="75"/>
      <c r="G442" s="75"/>
      <c r="H442" s="75"/>
      <c r="I442" s="75"/>
      <c r="J442" s="75"/>
      <c r="K442" s="75"/>
      <c r="L442" s="75"/>
      <c r="M442" s="75"/>
      <c r="N442" s="75"/>
      <c r="O442" s="75"/>
      <c r="P442" s="75"/>
      <c r="Q442" s="75"/>
      <c r="R442" s="75"/>
      <c r="S442" s="75"/>
      <c r="T442" s="75"/>
      <c r="U442" s="75"/>
      <c r="V442" s="77"/>
      <c r="W442" s="75"/>
      <c r="X442" s="75"/>
      <c r="Y442" s="75"/>
      <c r="Z442" s="78"/>
      <c r="AA442" s="78"/>
      <c r="AB442" s="75"/>
      <c r="AJ442" s="72"/>
    </row>
    <row r="443" spans="1:36" s="69" customFormat="1" x14ac:dyDescent="0.25">
      <c r="A443" s="75"/>
      <c r="B443" s="75"/>
      <c r="C443" s="76"/>
      <c r="D443" s="76"/>
      <c r="E443" s="75"/>
      <c r="F443" s="75"/>
      <c r="G443" s="75"/>
      <c r="H443" s="75"/>
      <c r="I443" s="75"/>
      <c r="J443" s="75"/>
      <c r="K443" s="75"/>
      <c r="L443" s="75"/>
      <c r="M443" s="75"/>
      <c r="N443" s="75"/>
      <c r="O443" s="75"/>
      <c r="P443" s="75"/>
      <c r="Q443" s="75"/>
      <c r="R443" s="75"/>
      <c r="S443" s="75"/>
      <c r="T443" s="75"/>
      <c r="U443" s="75"/>
      <c r="V443" s="77"/>
      <c r="W443" s="75"/>
      <c r="X443" s="75"/>
      <c r="Y443" s="75"/>
      <c r="Z443" s="78"/>
      <c r="AA443" s="78"/>
      <c r="AB443" s="75"/>
      <c r="AJ443" s="72"/>
    </row>
    <row r="444" spans="1:36" s="69" customFormat="1" x14ac:dyDescent="0.25">
      <c r="A444" s="75"/>
      <c r="B444" s="75"/>
      <c r="C444" s="76"/>
      <c r="D444" s="76"/>
      <c r="E444" s="75"/>
      <c r="F444" s="75"/>
      <c r="G444" s="75"/>
      <c r="H444" s="75"/>
      <c r="I444" s="75"/>
      <c r="J444" s="75"/>
      <c r="K444" s="75"/>
      <c r="L444" s="75"/>
      <c r="M444" s="75"/>
      <c r="N444" s="75"/>
      <c r="O444" s="75"/>
      <c r="P444" s="75"/>
      <c r="Q444" s="75"/>
      <c r="R444" s="75"/>
      <c r="S444" s="75"/>
      <c r="T444" s="75"/>
      <c r="U444" s="75"/>
      <c r="V444" s="77"/>
      <c r="W444" s="75"/>
      <c r="X444" s="75"/>
      <c r="Y444" s="75"/>
      <c r="Z444" s="78"/>
      <c r="AA444" s="78"/>
      <c r="AB444" s="75"/>
      <c r="AJ444" s="72"/>
    </row>
    <row r="445" spans="1:36" s="69" customFormat="1" x14ac:dyDescent="0.25">
      <c r="A445" s="75"/>
      <c r="B445" s="75"/>
      <c r="C445" s="76"/>
      <c r="D445" s="76"/>
      <c r="E445" s="75"/>
      <c r="F445" s="75"/>
      <c r="G445" s="75"/>
      <c r="H445" s="75"/>
      <c r="I445" s="75"/>
      <c r="J445" s="75"/>
      <c r="K445" s="75"/>
      <c r="L445" s="75"/>
      <c r="M445" s="75"/>
      <c r="N445" s="75"/>
      <c r="O445" s="75"/>
      <c r="P445" s="75"/>
      <c r="Q445" s="75"/>
      <c r="R445" s="75"/>
      <c r="S445" s="75"/>
      <c r="T445" s="75"/>
      <c r="U445" s="75"/>
      <c r="V445" s="77"/>
      <c r="W445" s="75"/>
      <c r="X445" s="75"/>
      <c r="Y445" s="75"/>
      <c r="Z445" s="78"/>
      <c r="AA445" s="78"/>
      <c r="AB445" s="75"/>
      <c r="AJ445" s="72"/>
    </row>
    <row r="446" spans="1:36" s="69" customFormat="1" x14ac:dyDescent="0.25">
      <c r="A446" s="75"/>
      <c r="B446" s="75"/>
      <c r="C446" s="76"/>
      <c r="D446" s="76"/>
      <c r="E446" s="75"/>
      <c r="F446" s="75"/>
      <c r="G446" s="75"/>
      <c r="H446" s="75"/>
      <c r="I446" s="75"/>
      <c r="J446" s="75"/>
      <c r="K446" s="75"/>
      <c r="L446" s="75"/>
      <c r="M446" s="75"/>
      <c r="N446" s="75"/>
      <c r="O446" s="75"/>
      <c r="P446" s="75"/>
      <c r="Q446" s="75"/>
      <c r="R446" s="75"/>
      <c r="S446" s="75"/>
      <c r="T446" s="75"/>
      <c r="U446" s="75"/>
      <c r="V446" s="77"/>
      <c r="W446" s="75"/>
      <c r="X446" s="75"/>
      <c r="Y446" s="75"/>
      <c r="Z446" s="78"/>
      <c r="AA446" s="78"/>
      <c r="AB446" s="75"/>
      <c r="AJ446" s="72"/>
    </row>
    <row r="447" spans="1:36" s="69" customFormat="1" x14ac:dyDescent="0.25">
      <c r="A447" s="75"/>
      <c r="B447" s="75"/>
      <c r="C447" s="76"/>
      <c r="D447" s="76"/>
      <c r="E447" s="75"/>
      <c r="F447" s="75"/>
      <c r="G447" s="75"/>
      <c r="H447" s="75"/>
      <c r="I447" s="75"/>
      <c r="J447" s="75"/>
      <c r="K447" s="75"/>
      <c r="L447" s="75"/>
      <c r="M447" s="75"/>
      <c r="N447" s="75"/>
      <c r="O447" s="75"/>
      <c r="P447" s="75"/>
      <c r="Q447" s="75"/>
      <c r="R447" s="75"/>
      <c r="S447" s="75"/>
      <c r="T447" s="75"/>
      <c r="U447" s="75"/>
      <c r="V447" s="77"/>
      <c r="W447" s="75"/>
      <c r="X447" s="75"/>
      <c r="Y447" s="75"/>
      <c r="Z447" s="78"/>
      <c r="AA447" s="78"/>
      <c r="AB447" s="75"/>
      <c r="AJ447" s="72"/>
    </row>
    <row r="448" spans="1:36" s="69" customFormat="1" x14ac:dyDescent="0.25">
      <c r="A448" s="75"/>
      <c r="B448" s="75"/>
      <c r="C448" s="76"/>
      <c r="D448" s="76"/>
      <c r="E448" s="75"/>
      <c r="F448" s="75"/>
      <c r="G448" s="75"/>
      <c r="H448" s="75"/>
      <c r="I448" s="75"/>
      <c r="J448" s="75"/>
      <c r="K448" s="75"/>
      <c r="L448" s="75"/>
      <c r="M448" s="75"/>
      <c r="N448" s="75"/>
      <c r="O448" s="75"/>
      <c r="P448" s="75"/>
      <c r="Q448" s="75"/>
      <c r="R448" s="75"/>
      <c r="S448" s="75"/>
      <c r="T448" s="75"/>
      <c r="U448" s="75"/>
      <c r="V448" s="77"/>
      <c r="W448" s="75"/>
      <c r="X448" s="75"/>
      <c r="Y448" s="75"/>
      <c r="Z448" s="78"/>
      <c r="AA448" s="78"/>
      <c r="AB448" s="75"/>
      <c r="AJ448" s="72"/>
    </row>
    <row r="449" spans="1:36" s="69" customFormat="1" x14ac:dyDescent="0.25">
      <c r="A449" s="75"/>
      <c r="B449" s="75"/>
      <c r="C449" s="76"/>
      <c r="D449" s="76"/>
      <c r="E449" s="75"/>
      <c r="F449" s="75"/>
      <c r="G449" s="75"/>
      <c r="H449" s="75"/>
      <c r="I449" s="75"/>
      <c r="J449" s="75"/>
      <c r="K449" s="75"/>
      <c r="L449" s="75"/>
      <c r="M449" s="75"/>
      <c r="N449" s="75"/>
      <c r="O449" s="75"/>
      <c r="P449" s="75"/>
      <c r="Q449" s="75"/>
      <c r="R449" s="75"/>
      <c r="S449" s="75"/>
      <c r="T449" s="75"/>
      <c r="U449" s="75"/>
      <c r="V449" s="77"/>
      <c r="W449" s="75"/>
      <c r="X449" s="75"/>
      <c r="Y449" s="75"/>
      <c r="Z449" s="78"/>
      <c r="AA449" s="78"/>
      <c r="AB449" s="75"/>
      <c r="AJ449" s="72"/>
    </row>
    <row r="450" spans="1:36" s="69" customFormat="1" x14ac:dyDescent="0.25">
      <c r="A450" s="75"/>
      <c r="B450" s="75"/>
      <c r="C450" s="76"/>
      <c r="D450" s="76"/>
      <c r="E450" s="75"/>
      <c r="F450" s="75"/>
      <c r="G450" s="75"/>
      <c r="H450" s="75"/>
      <c r="I450" s="75"/>
      <c r="J450" s="75"/>
      <c r="K450" s="75"/>
      <c r="L450" s="75"/>
      <c r="M450" s="75"/>
      <c r="N450" s="75"/>
      <c r="O450" s="75"/>
      <c r="P450" s="75"/>
      <c r="Q450" s="75"/>
      <c r="R450" s="75"/>
      <c r="S450" s="75"/>
      <c r="T450" s="75"/>
      <c r="U450" s="75"/>
      <c r="V450" s="77"/>
      <c r="W450" s="75"/>
      <c r="X450" s="75"/>
      <c r="Y450" s="75"/>
      <c r="Z450" s="78"/>
      <c r="AA450" s="78"/>
      <c r="AB450" s="75"/>
      <c r="AJ450" s="72"/>
    </row>
    <row r="451" spans="1:36" s="69" customFormat="1" x14ac:dyDescent="0.25">
      <c r="A451" s="75"/>
      <c r="B451" s="75"/>
      <c r="C451" s="76"/>
      <c r="D451" s="76"/>
      <c r="E451" s="75"/>
      <c r="F451" s="75"/>
      <c r="G451" s="75"/>
      <c r="H451" s="75"/>
      <c r="I451" s="75"/>
      <c r="J451" s="75"/>
      <c r="K451" s="75"/>
      <c r="L451" s="75"/>
      <c r="M451" s="75"/>
      <c r="N451" s="75"/>
      <c r="O451" s="75"/>
      <c r="P451" s="75"/>
      <c r="Q451" s="75"/>
      <c r="R451" s="75"/>
      <c r="S451" s="75"/>
      <c r="T451" s="75"/>
      <c r="U451" s="75"/>
      <c r="V451" s="77"/>
      <c r="W451" s="75"/>
      <c r="X451" s="75"/>
      <c r="Y451" s="75"/>
      <c r="Z451" s="78"/>
      <c r="AA451" s="78"/>
      <c r="AB451" s="75"/>
      <c r="AJ451" s="72"/>
    </row>
    <row r="452" spans="1:36" s="69" customFormat="1" x14ac:dyDescent="0.25">
      <c r="A452" s="75"/>
      <c r="B452" s="75"/>
      <c r="C452" s="76"/>
      <c r="D452" s="76"/>
      <c r="E452" s="75"/>
      <c r="F452" s="75"/>
      <c r="G452" s="75"/>
      <c r="H452" s="75"/>
      <c r="I452" s="75"/>
      <c r="J452" s="75"/>
      <c r="K452" s="75"/>
      <c r="L452" s="75"/>
      <c r="M452" s="75"/>
      <c r="N452" s="75"/>
      <c r="O452" s="75"/>
      <c r="P452" s="75"/>
      <c r="Q452" s="75"/>
      <c r="R452" s="75"/>
      <c r="S452" s="75"/>
      <c r="T452" s="75"/>
      <c r="U452" s="75"/>
      <c r="V452" s="77"/>
      <c r="W452" s="75"/>
      <c r="X452" s="75"/>
      <c r="Y452" s="75"/>
      <c r="Z452" s="78"/>
      <c r="AA452" s="78"/>
      <c r="AB452" s="75"/>
      <c r="AJ452" s="72"/>
    </row>
    <row r="453" spans="1:36" s="69" customFormat="1" x14ac:dyDescent="0.25">
      <c r="A453" s="75"/>
      <c r="B453" s="75"/>
      <c r="C453" s="76"/>
      <c r="D453" s="76"/>
      <c r="E453" s="75"/>
      <c r="F453" s="75"/>
      <c r="G453" s="75"/>
      <c r="H453" s="75"/>
      <c r="I453" s="75"/>
      <c r="J453" s="75"/>
      <c r="K453" s="75"/>
      <c r="L453" s="75"/>
      <c r="M453" s="75"/>
      <c r="N453" s="75"/>
      <c r="O453" s="75"/>
      <c r="P453" s="75"/>
      <c r="Q453" s="75"/>
      <c r="R453" s="75"/>
      <c r="S453" s="75"/>
      <c r="T453" s="75"/>
      <c r="U453" s="75"/>
      <c r="V453" s="77"/>
      <c r="W453" s="75"/>
      <c r="X453" s="75"/>
      <c r="Y453" s="75"/>
      <c r="Z453" s="78"/>
      <c r="AA453" s="78"/>
      <c r="AB453" s="75"/>
      <c r="AJ453" s="72"/>
    </row>
    <row r="454" spans="1:36" s="69" customFormat="1" x14ac:dyDescent="0.25">
      <c r="A454" s="75"/>
      <c r="B454" s="75"/>
      <c r="C454" s="76"/>
      <c r="D454" s="76"/>
      <c r="E454" s="75"/>
      <c r="F454" s="75"/>
      <c r="G454" s="75"/>
      <c r="H454" s="75"/>
      <c r="I454" s="75"/>
      <c r="J454" s="75"/>
      <c r="K454" s="75"/>
      <c r="L454" s="75"/>
      <c r="M454" s="75"/>
      <c r="N454" s="75"/>
      <c r="O454" s="75"/>
      <c r="P454" s="75"/>
      <c r="Q454" s="75"/>
      <c r="R454" s="75"/>
      <c r="S454" s="75"/>
      <c r="T454" s="75"/>
      <c r="U454" s="75"/>
      <c r="V454" s="77"/>
      <c r="W454" s="75"/>
      <c r="X454" s="75"/>
      <c r="Y454" s="75"/>
      <c r="Z454" s="78"/>
      <c r="AA454" s="78"/>
      <c r="AB454" s="75"/>
      <c r="AJ454" s="72"/>
    </row>
    <row r="455" spans="1:36" s="69" customFormat="1" x14ac:dyDescent="0.25">
      <c r="A455" s="75"/>
      <c r="B455" s="75"/>
      <c r="C455" s="76"/>
      <c r="D455" s="76"/>
      <c r="E455" s="75"/>
      <c r="F455" s="75"/>
      <c r="G455" s="75"/>
      <c r="H455" s="75"/>
      <c r="I455" s="75"/>
      <c r="J455" s="75"/>
      <c r="K455" s="75"/>
      <c r="L455" s="75"/>
      <c r="M455" s="75"/>
      <c r="N455" s="75"/>
      <c r="O455" s="75"/>
      <c r="P455" s="75"/>
      <c r="Q455" s="75"/>
      <c r="R455" s="75"/>
      <c r="S455" s="75"/>
      <c r="T455" s="75"/>
      <c r="U455" s="75"/>
      <c r="V455" s="77"/>
      <c r="W455" s="75"/>
      <c r="X455" s="75"/>
      <c r="Y455" s="75"/>
      <c r="Z455" s="78"/>
      <c r="AA455" s="78"/>
      <c r="AB455" s="75"/>
      <c r="AJ455" s="72"/>
    </row>
    <row r="456" spans="1:36" s="69" customFormat="1" x14ac:dyDescent="0.25">
      <c r="A456" s="75"/>
      <c r="B456" s="75"/>
      <c r="C456" s="76"/>
      <c r="D456" s="76"/>
      <c r="E456" s="75"/>
      <c r="F456" s="75"/>
      <c r="G456" s="75"/>
      <c r="H456" s="75"/>
      <c r="I456" s="75"/>
      <c r="J456" s="75"/>
      <c r="K456" s="75"/>
      <c r="L456" s="75"/>
      <c r="M456" s="75"/>
      <c r="N456" s="75"/>
      <c r="O456" s="75"/>
      <c r="P456" s="75"/>
      <c r="Q456" s="75"/>
      <c r="R456" s="75"/>
      <c r="S456" s="75"/>
      <c r="T456" s="75"/>
      <c r="U456" s="75"/>
      <c r="V456" s="77"/>
      <c r="W456" s="75"/>
      <c r="X456" s="75"/>
      <c r="Y456" s="75"/>
      <c r="Z456" s="78"/>
      <c r="AA456" s="78"/>
      <c r="AB456" s="75"/>
      <c r="AJ456" s="72"/>
    </row>
    <row r="457" spans="1:36" s="69" customFormat="1" x14ac:dyDescent="0.25">
      <c r="A457" s="75"/>
      <c r="B457" s="75"/>
      <c r="C457" s="76"/>
      <c r="D457" s="76"/>
      <c r="E457" s="75"/>
      <c r="F457" s="75"/>
      <c r="G457" s="75"/>
      <c r="H457" s="75"/>
      <c r="I457" s="75"/>
      <c r="J457" s="75"/>
      <c r="K457" s="75"/>
      <c r="L457" s="75"/>
      <c r="M457" s="75"/>
      <c r="N457" s="75"/>
      <c r="O457" s="75"/>
      <c r="P457" s="75"/>
      <c r="Q457" s="75"/>
      <c r="R457" s="75"/>
      <c r="S457" s="75"/>
      <c r="T457" s="75"/>
      <c r="U457" s="75"/>
      <c r="V457" s="77"/>
      <c r="W457" s="75"/>
      <c r="X457" s="75"/>
      <c r="Y457" s="75"/>
      <c r="Z457" s="78"/>
      <c r="AA457" s="78"/>
      <c r="AB457" s="75"/>
      <c r="AJ457" s="72"/>
    </row>
    <row r="458" spans="1:36" s="69" customFormat="1" x14ac:dyDescent="0.25">
      <c r="A458" s="75"/>
      <c r="B458" s="75"/>
      <c r="C458" s="76"/>
      <c r="D458" s="76"/>
      <c r="E458" s="75"/>
      <c r="F458" s="75"/>
      <c r="G458" s="75"/>
      <c r="H458" s="75"/>
      <c r="I458" s="75"/>
      <c r="J458" s="75"/>
      <c r="K458" s="75"/>
      <c r="L458" s="75"/>
      <c r="M458" s="75"/>
      <c r="N458" s="75"/>
      <c r="O458" s="75"/>
      <c r="P458" s="75"/>
      <c r="Q458" s="75"/>
      <c r="R458" s="75"/>
      <c r="S458" s="75"/>
      <c r="T458" s="75"/>
      <c r="U458" s="75"/>
      <c r="V458" s="77"/>
      <c r="W458" s="75"/>
      <c r="X458" s="75"/>
      <c r="Y458" s="75"/>
      <c r="Z458" s="78"/>
      <c r="AA458" s="78"/>
      <c r="AB458" s="75"/>
      <c r="AJ458" s="72"/>
    </row>
    <row r="459" spans="1:36" s="69" customFormat="1" x14ac:dyDescent="0.25">
      <c r="A459" s="75"/>
      <c r="B459" s="75"/>
      <c r="C459" s="76"/>
      <c r="D459" s="76"/>
      <c r="E459" s="75"/>
      <c r="F459" s="75"/>
      <c r="G459" s="75"/>
      <c r="H459" s="75"/>
      <c r="I459" s="75"/>
      <c r="J459" s="75"/>
      <c r="K459" s="75"/>
      <c r="L459" s="75"/>
      <c r="M459" s="75"/>
      <c r="N459" s="75"/>
      <c r="O459" s="75"/>
      <c r="P459" s="75"/>
      <c r="Q459" s="75"/>
      <c r="R459" s="75"/>
      <c r="S459" s="75"/>
      <c r="T459" s="75"/>
      <c r="U459" s="75"/>
      <c r="V459" s="77"/>
      <c r="W459" s="75"/>
      <c r="X459" s="75"/>
      <c r="Y459" s="75"/>
      <c r="Z459" s="78"/>
      <c r="AA459" s="78"/>
      <c r="AB459" s="75"/>
      <c r="AJ459" s="72"/>
    </row>
    <row r="460" spans="1:36" s="69" customFormat="1" x14ac:dyDescent="0.25">
      <c r="A460" s="75"/>
      <c r="B460" s="75"/>
      <c r="C460" s="76"/>
      <c r="D460" s="76"/>
      <c r="E460" s="75"/>
      <c r="F460" s="75"/>
      <c r="G460" s="75"/>
      <c r="H460" s="75"/>
      <c r="I460" s="75"/>
      <c r="J460" s="75"/>
      <c r="K460" s="75"/>
      <c r="L460" s="75"/>
      <c r="M460" s="75"/>
      <c r="N460" s="75"/>
      <c r="O460" s="75"/>
      <c r="P460" s="75"/>
      <c r="Q460" s="75"/>
      <c r="R460" s="75"/>
      <c r="S460" s="75"/>
      <c r="T460" s="75"/>
      <c r="U460" s="75"/>
      <c r="V460" s="77"/>
      <c r="W460" s="75"/>
      <c r="X460" s="75"/>
      <c r="Y460" s="75"/>
      <c r="Z460" s="78"/>
      <c r="AA460" s="78"/>
      <c r="AB460" s="75"/>
      <c r="AJ460" s="72"/>
    </row>
    <row r="461" spans="1:36" s="69" customFormat="1" x14ac:dyDescent="0.25">
      <c r="A461" s="75"/>
      <c r="B461" s="75"/>
      <c r="C461" s="76"/>
      <c r="D461" s="76"/>
      <c r="E461" s="75"/>
      <c r="F461" s="75"/>
      <c r="G461" s="75"/>
      <c r="H461" s="75"/>
      <c r="I461" s="75"/>
      <c r="J461" s="75"/>
      <c r="K461" s="75"/>
      <c r="L461" s="75"/>
      <c r="M461" s="75"/>
      <c r="N461" s="75"/>
      <c r="O461" s="75"/>
      <c r="P461" s="75"/>
      <c r="Q461" s="75"/>
      <c r="R461" s="75"/>
      <c r="S461" s="75"/>
      <c r="T461" s="75"/>
      <c r="U461" s="75"/>
      <c r="V461" s="77"/>
      <c r="W461" s="75"/>
      <c r="X461" s="75"/>
      <c r="Y461" s="75"/>
      <c r="Z461" s="78"/>
      <c r="AA461" s="78"/>
      <c r="AB461" s="75"/>
      <c r="AJ461" s="72"/>
    </row>
    <row r="462" spans="1:36" s="69" customFormat="1" x14ac:dyDescent="0.25">
      <c r="A462" s="75"/>
      <c r="B462" s="75"/>
      <c r="C462" s="76"/>
      <c r="D462" s="76"/>
      <c r="E462" s="75"/>
      <c r="F462" s="75"/>
      <c r="G462" s="75"/>
      <c r="H462" s="75"/>
      <c r="I462" s="75"/>
      <c r="J462" s="75"/>
      <c r="K462" s="75"/>
      <c r="L462" s="75"/>
      <c r="M462" s="75"/>
      <c r="N462" s="75"/>
      <c r="O462" s="75"/>
      <c r="P462" s="75"/>
      <c r="Q462" s="75"/>
      <c r="R462" s="75"/>
      <c r="S462" s="75"/>
      <c r="T462" s="75"/>
      <c r="U462" s="75"/>
      <c r="V462" s="77"/>
      <c r="W462" s="75"/>
      <c r="X462" s="75"/>
      <c r="Y462" s="75"/>
      <c r="Z462" s="78"/>
      <c r="AA462" s="78"/>
      <c r="AB462" s="75"/>
      <c r="AJ462" s="72"/>
    </row>
    <row r="463" spans="1:36" s="69" customFormat="1" x14ac:dyDescent="0.25">
      <c r="A463" s="75"/>
      <c r="B463" s="75"/>
      <c r="C463" s="76"/>
      <c r="D463" s="76"/>
      <c r="E463" s="75"/>
      <c r="F463" s="75"/>
      <c r="G463" s="75"/>
      <c r="H463" s="75"/>
      <c r="I463" s="75"/>
      <c r="J463" s="75"/>
      <c r="K463" s="75"/>
      <c r="L463" s="75"/>
      <c r="M463" s="75"/>
      <c r="N463" s="75"/>
      <c r="O463" s="75"/>
      <c r="P463" s="75"/>
      <c r="Q463" s="75"/>
      <c r="R463" s="75"/>
      <c r="S463" s="75"/>
      <c r="T463" s="75"/>
      <c r="U463" s="75"/>
      <c r="V463" s="77"/>
      <c r="W463" s="75"/>
      <c r="X463" s="75"/>
      <c r="Y463" s="75"/>
      <c r="Z463" s="78"/>
      <c r="AA463" s="78"/>
      <c r="AB463" s="75"/>
      <c r="AJ463" s="72"/>
    </row>
    <row r="464" spans="1:36" s="69" customFormat="1" x14ac:dyDescent="0.25">
      <c r="A464" s="75"/>
      <c r="B464" s="75"/>
      <c r="C464" s="76"/>
      <c r="D464" s="76"/>
      <c r="E464" s="75"/>
      <c r="F464" s="75"/>
      <c r="G464" s="75"/>
      <c r="H464" s="75"/>
      <c r="I464" s="75"/>
      <c r="J464" s="75"/>
      <c r="K464" s="75"/>
      <c r="L464" s="75"/>
      <c r="M464" s="75"/>
      <c r="N464" s="75"/>
      <c r="O464" s="75"/>
      <c r="P464" s="75"/>
      <c r="Q464" s="75"/>
      <c r="R464" s="75"/>
      <c r="S464" s="75"/>
      <c r="T464" s="75"/>
      <c r="U464" s="75"/>
      <c r="V464" s="77"/>
      <c r="W464" s="75"/>
      <c r="X464" s="75"/>
      <c r="Y464" s="75"/>
      <c r="Z464" s="78"/>
      <c r="AA464" s="78"/>
      <c r="AB464" s="75"/>
      <c r="AJ464" s="72"/>
    </row>
    <row r="465" spans="1:36" s="69" customFormat="1" x14ac:dyDescent="0.25">
      <c r="A465" s="75"/>
      <c r="B465" s="75"/>
      <c r="C465" s="76"/>
      <c r="D465" s="76"/>
      <c r="E465" s="75"/>
      <c r="F465" s="75"/>
      <c r="G465" s="75"/>
      <c r="H465" s="75"/>
      <c r="I465" s="75"/>
      <c r="J465" s="75"/>
      <c r="K465" s="75"/>
      <c r="L465" s="75"/>
      <c r="M465" s="75"/>
      <c r="N465" s="75"/>
      <c r="O465" s="75"/>
      <c r="P465" s="75"/>
      <c r="Q465" s="75"/>
      <c r="R465" s="75"/>
      <c r="S465" s="75"/>
      <c r="T465" s="75"/>
      <c r="U465" s="75"/>
      <c r="V465" s="77"/>
      <c r="W465" s="75"/>
      <c r="X465" s="75"/>
      <c r="Y465" s="75"/>
      <c r="Z465" s="78"/>
      <c r="AA465" s="78"/>
      <c r="AB465" s="75"/>
      <c r="AJ465" s="72"/>
    </row>
    <row r="466" spans="1:36" s="69" customFormat="1" x14ac:dyDescent="0.25">
      <c r="A466" s="75"/>
      <c r="B466" s="75"/>
      <c r="C466" s="76"/>
      <c r="D466" s="76"/>
      <c r="E466" s="75"/>
      <c r="F466" s="75"/>
      <c r="G466" s="75"/>
      <c r="H466" s="75"/>
      <c r="I466" s="75"/>
      <c r="J466" s="75"/>
      <c r="K466" s="75"/>
      <c r="L466" s="75"/>
      <c r="M466" s="75"/>
      <c r="N466" s="75"/>
      <c r="O466" s="75"/>
      <c r="P466" s="75"/>
      <c r="Q466" s="75"/>
      <c r="R466" s="75"/>
      <c r="S466" s="75"/>
      <c r="T466" s="75"/>
      <c r="U466" s="75"/>
      <c r="V466" s="77"/>
      <c r="W466" s="75"/>
      <c r="X466" s="75"/>
      <c r="Y466" s="75"/>
      <c r="Z466" s="78"/>
      <c r="AA466" s="78"/>
      <c r="AB466" s="75"/>
      <c r="AJ466" s="72"/>
    </row>
    <row r="467" spans="1:36" s="69" customFormat="1" x14ac:dyDescent="0.25">
      <c r="A467" s="75"/>
      <c r="B467" s="75"/>
      <c r="C467" s="76"/>
      <c r="D467" s="76"/>
      <c r="E467" s="75"/>
      <c r="F467" s="75"/>
      <c r="G467" s="75"/>
      <c r="H467" s="75"/>
      <c r="I467" s="75"/>
      <c r="J467" s="75"/>
      <c r="K467" s="75"/>
      <c r="L467" s="75"/>
      <c r="M467" s="75"/>
      <c r="N467" s="75"/>
      <c r="O467" s="75"/>
      <c r="P467" s="75"/>
      <c r="Q467" s="75"/>
      <c r="R467" s="75"/>
      <c r="S467" s="75"/>
      <c r="T467" s="75"/>
      <c r="U467" s="75"/>
      <c r="V467" s="77"/>
      <c r="W467" s="75"/>
      <c r="X467" s="75"/>
      <c r="Y467" s="75"/>
      <c r="Z467" s="78"/>
      <c r="AA467" s="78"/>
      <c r="AB467" s="75"/>
      <c r="AJ467" s="72"/>
    </row>
    <row r="468" spans="1:36" s="69" customFormat="1" x14ac:dyDescent="0.25">
      <c r="A468" s="75"/>
      <c r="B468" s="75"/>
      <c r="C468" s="76"/>
      <c r="D468" s="76"/>
      <c r="E468" s="75"/>
      <c r="F468" s="75"/>
      <c r="G468" s="75"/>
      <c r="H468" s="75"/>
      <c r="I468" s="75"/>
      <c r="J468" s="75"/>
      <c r="K468" s="75"/>
      <c r="L468" s="75"/>
      <c r="M468" s="75"/>
      <c r="N468" s="75"/>
      <c r="O468" s="75"/>
      <c r="P468" s="75"/>
      <c r="Q468" s="75"/>
      <c r="R468" s="75"/>
      <c r="S468" s="75"/>
      <c r="T468" s="75"/>
      <c r="U468" s="75"/>
      <c r="V468" s="77"/>
      <c r="W468" s="75"/>
      <c r="X468" s="75"/>
      <c r="Y468" s="75"/>
      <c r="Z468" s="78"/>
      <c r="AA468" s="78"/>
      <c r="AB468" s="75"/>
      <c r="AJ468" s="72"/>
    </row>
    <row r="469" spans="1:36" s="69" customFormat="1" x14ac:dyDescent="0.25">
      <c r="A469" s="75"/>
      <c r="B469" s="75"/>
      <c r="C469" s="76"/>
      <c r="D469" s="76"/>
      <c r="E469" s="75"/>
      <c r="F469" s="75"/>
      <c r="G469" s="75"/>
      <c r="H469" s="75"/>
      <c r="I469" s="75"/>
      <c r="J469" s="75"/>
      <c r="K469" s="75"/>
      <c r="L469" s="75"/>
      <c r="M469" s="75"/>
      <c r="N469" s="75"/>
      <c r="O469" s="75"/>
      <c r="P469" s="75"/>
      <c r="Q469" s="75"/>
      <c r="R469" s="75"/>
      <c r="S469" s="75"/>
      <c r="T469" s="75"/>
      <c r="U469" s="75"/>
      <c r="V469" s="77"/>
      <c r="W469" s="75"/>
      <c r="X469" s="75"/>
      <c r="Y469" s="75"/>
      <c r="Z469" s="78"/>
      <c r="AA469" s="78"/>
      <c r="AB469" s="75"/>
      <c r="AJ469" s="72"/>
    </row>
    <row r="470" spans="1:36" s="69" customFormat="1" x14ac:dyDescent="0.25">
      <c r="A470" s="75"/>
      <c r="B470" s="75"/>
      <c r="C470" s="76"/>
      <c r="D470" s="76"/>
      <c r="E470" s="75"/>
      <c r="F470" s="75"/>
      <c r="G470" s="75"/>
      <c r="H470" s="75"/>
      <c r="I470" s="75"/>
      <c r="J470" s="75"/>
      <c r="K470" s="75"/>
      <c r="L470" s="75"/>
      <c r="M470" s="75"/>
      <c r="N470" s="75"/>
      <c r="O470" s="75"/>
      <c r="P470" s="75"/>
      <c r="Q470" s="75"/>
      <c r="R470" s="75"/>
      <c r="S470" s="75"/>
      <c r="T470" s="75"/>
      <c r="U470" s="75"/>
      <c r="V470" s="77"/>
      <c r="W470" s="75"/>
      <c r="X470" s="75"/>
      <c r="Y470" s="75"/>
      <c r="Z470" s="78"/>
      <c r="AA470" s="78"/>
      <c r="AB470" s="75"/>
      <c r="AJ470" s="72"/>
    </row>
    <row r="471" spans="1:36" s="69" customFormat="1" x14ac:dyDescent="0.25">
      <c r="A471" s="75"/>
      <c r="B471" s="75"/>
      <c r="C471" s="76"/>
      <c r="D471" s="76"/>
      <c r="E471" s="75"/>
      <c r="F471" s="75"/>
      <c r="G471" s="75"/>
      <c r="H471" s="75"/>
      <c r="I471" s="75"/>
      <c r="J471" s="75"/>
      <c r="K471" s="75"/>
      <c r="L471" s="75"/>
      <c r="M471" s="75"/>
      <c r="N471" s="75"/>
      <c r="O471" s="75"/>
      <c r="P471" s="75"/>
      <c r="Q471" s="75"/>
      <c r="R471" s="75"/>
      <c r="S471" s="75"/>
      <c r="T471" s="75"/>
      <c r="U471" s="75"/>
      <c r="V471" s="77"/>
      <c r="W471" s="75"/>
      <c r="X471" s="75"/>
      <c r="Y471" s="75"/>
      <c r="Z471" s="78"/>
      <c r="AA471" s="78"/>
      <c r="AB471" s="75"/>
      <c r="AJ471" s="72"/>
    </row>
    <row r="472" spans="1:36" s="69" customFormat="1" x14ac:dyDescent="0.25">
      <c r="A472" s="75"/>
      <c r="B472" s="75"/>
      <c r="C472" s="76"/>
      <c r="D472" s="76"/>
      <c r="E472" s="75"/>
      <c r="F472" s="75"/>
      <c r="G472" s="75"/>
      <c r="H472" s="75"/>
      <c r="I472" s="75"/>
      <c r="J472" s="75"/>
      <c r="K472" s="75"/>
      <c r="L472" s="75"/>
      <c r="M472" s="75"/>
      <c r="N472" s="75"/>
      <c r="O472" s="75"/>
      <c r="P472" s="75"/>
      <c r="Q472" s="75"/>
      <c r="R472" s="75"/>
      <c r="S472" s="75"/>
      <c r="T472" s="75"/>
      <c r="U472" s="75"/>
      <c r="V472" s="77"/>
      <c r="W472" s="75"/>
      <c r="X472" s="75"/>
      <c r="Y472" s="75"/>
      <c r="Z472" s="78"/>
      <c r="AA472" s="78"/>
      <c r="AB472" s="75"/>
      <c r="AJ472" s="72"/>
    </row>
    <row r="473" spans="1:36" s="69" customFormat="1" x14ac:dyDescent="0.25">
      <c r="A473" s="75"/>
      <c r="B473" s="75"/>
      <c r="C473" s="76"/>
      <c r="D473" s="76"/>
      <c r="E473" s="75"/>
      <c r="F473" s="75"/>
      <c r="G473" s="75"/>
      <c r="H473" s="75"/>
      <c r="I473" s="75"/>
      <c r="J473" s="75"/>
      <c r="K473" s="75"/>
      <c r="L473" s="75"/>
      <c r="M473" s="75"/>
      <c r="N473" s="75"/>
      <c r="O473" s="75"/>
      <c r="P473" s="75"/>
      <c r="Q473" s="75"/>
      <c r="R473" s="75"/>
      <c r="S473" s="75"/>
      <c r="T473" s="75"/>
      <c r="U473" s="75"/>
      <c r="V473" s="77"/>
      <c r="W473" s="75"/>
      <c r="X473" s="75"/>
      <c r="Y473" s="75"/>
      <c r="Z473" s="78"/>
      <c r="AA473" s="78"/>
      <c r="AB473" s="75"/>
      <c r="AJ473" s="72"/>
    </row>
    <row r="474" spans="1:36" s="69" customFormat="1" x14ac:dyDescent="0.25">
      <c r="A474" s="75"/>
      <c r="B474" s="75"/>
      <c r="C474" s="76"/>
      <c r="D474" s="76"/>
      <c r="E474" s="75"/>
      <c r="F474" s="75"/>
      <c r="G474" s="75"/>
      <c r="H474" s="75"/>
      <c r="I474" s="75"/>
      <c r="J474" s="75"/>
      <c r="K474" s="75"/>
      <c r="L474" s="75"/>
      <c r="M474" s="75"/>
      <c r="N474" s="75"/>
      <c r="O474" s="75"/>
      <c r="P474" s="75"/>
      <c r="Q474" s="75"/>
      <c r="R474" s="75"/>
      <c r="S474" s="75"/>
      <c r="T474" s="75"/>
      <c r="U474" s="75"/>
      <c r="V474" s="77"/>
      <c r="W474" s="75"/>
      <c r="X474" s="75"/>
      <c r="Y474" s="75"/>
      <c r="Z474" s="78"/>
      <c r="AA474" s="78"/>
      <c r="AB474" s="75"/>
      <c r="AJ474" s="72"/>
    </row>
    <row r="475" spans="1:36" s="69" customFormat="1" x14ac:dyDescent="0.25">
      <c r="A475" s="75"/>
      <c r="B475" s="75"/>
      <c r="C475" s="76"/>
      <c r="D475" s="76"/>
      <c r="E475" s="75"/>
      <c r="F475" s="75"/>
      <c r="G475" s="75"/>
      <c r="H475" s="75"/>
      <c r="I475" s="75"/>
      <c r="J475" s="75"/>
      <c r="K475" s="75"/>
      <c r="L475" s="75"/>
      <c r="M475" s="75"/>
      <c r="N475" s="75"/>
      <c r="O475" s="75"/>
      <c r="P475" s="75"/>
      <c r="Q475" s="75"/>
      <c r="R475" s="75"/>
      <c r="S475" s="75"/>
      <c r="T475" s="75"/>
      <c r="U475" s="75"/>
      <c r="V475" s="77"/>
      <c r="W475" s="75"/>
      <c r="X475" s="75"/>
      <c r="Y475" s="75"/>
      <c r="Z475" s="78"/>
      <c r="AA475" s="78"/>
      <c r="AB475" s="75"/>
      <c r="AJ475" s="72"/>
    </row>
    <row r="476" spans="1:36" s="69" customFormat="1" x14ac:dyDescent="0.25">
      <c r="A476" s="75"/>
      <c r="B476" s="75"/>
      <c r="C476" s="76"/>
      <c r="D476" s="76"/>
      <c r="E476" s="75"/>
      <c r="F476" s="75"/>
      <c r="G476" s="75"/>
      <c r="H476" s="75"/>
      <c r="I476" s="75"/>
      <c r="J476" s="75"/>
      <c r="K476" s="75"/>
      <c r="L476" s="75"/>
      <c r="M476" s="75"/>
      <c r="N476" s="75"/>
      <c r="O476" s="75"/>
      <c r="P476" s="75"/>
      <c r="Q476" s="75"/>
      <c r="R476" s="75"/>
      <c r="S476" s="75"/>
      <c r="T476" s="75"/>
      <c r="U476" s="75"/>
      <c r="V476" s="77"/>
      <c r="W476" s="75"/>
      <c r="X476" s="75"/>
      <c r="Y476" s="75"/>
      <c r="Z476" s="78"/>
      <c r="AA476" s="78"/>
      <c r="AB476" s="75"/>
      <c r="AJ476" s="72"/>
    </row>
    <row r="477" spans="1:36" s="69" customFormat="1" x14ac:dyDescent="0.25">
      <c r="A477" s="75"/>
      <c r="B477" s="75"/>
      <c r="C477" s="76"/>
      <c r="D477" s="76"/>
      <c r="E477" s="75"/>
      <c r="F477" s="75"/>
      <c r="G477" s="75"/>
      <c r="H477" s="75"/>
      <c r="I477" s="75"/>
      <c r="J477" s="75"/>
      <c r="K477" s="75"/>
      <c r="L477" s="75"/>
      <c r="M477" s="75"/>
      <c r="N477" s="75"/>
      <c r="O477" s="75"/>
      <c r="P477" s="75"/>
      <c r="Q477" s="75"/>
      <c r="R477" s="75"/>
      <c r="S477" s="75"/>
      <c r="T477" s="75"/>
      <c r="U477" s="75"/>
      <c r="V477" s="77"/>
      <c r="W477" s="75"/>
      <c r="X477" s="75"/>
      <c r="Y477" s="75"/>
      <c r="Z477" s="78"/>
      <c r="AA477" s="78"/>
      <c r="AB477" s="75"/>
      <c r="AJ477" s="72"/>
    </row>
    <row r="478" spans="1:36" s="69" customFormat="1" x14ac:dyDescent="0.25">
      <c r="A478" s="75"/>
      <c r="B478" s="75"/>
      <c r="C478" s="76"/>
      <c r="D478" s="76"/>
      <c r="E478" s="75"/>
      <c r="F478" s="75"/>
      <c r="G478" s="75"/>
      <c r="H478" s="75"/>
      <c r="I478" s="75"/>
      <c r="J478" s="75"/>
      <c r="K478" s="75"/>
      <c r="L478" s="75"/>
      <c r="M478" s="75"/>
      <c r="N478" s="75"/>
      <c r="O478" s="75"/>
      <c r="P478" s="75"/>
      <c r="Q478" s="75"/>
      <c r="R478" s="75"/>
      <c r="S478" s="75"/>
      <c r="T478" s="75"/>
      <c r="U478" s="75"/>
      <c r="V478" s="77"/>
      <c r="W478" s="75"/>
      <c r="X478" s="75"/>
      <c r="Y478" s="75"/>
      <c r="Z478" s="78"/>
      <c r="AA478" s="78"/>
      <c r="AB478" s="75"/>
      <c r="AJ478" s="72"/>
    </row>
    <row r="479" spans="1:36" s="69" customFormat="1" x14ac:dyDescent="0.25">
      <c r="A479" s="75"/>
      <c r="B479" s="75"/>
      <c r="C479" s="76"/>
      <c r="D479" s="76"/>
      <c r="E479" s="75"/>
      <c r="F479" s="75"/>
      <c r="G479" s="75"/>
      <c r="H479" s="75"/>
      <c r="I479" s="75"/>
      <c r="J479" s="75"/>
      <c r="K479" s="75"/>
      <c r="L479" s="75"/>
      <c r="M479" s="75"/>
      <c r="N479" s="75"/>
      <c r="O479" s="75"/>
      <c r="P479" s="75"/>
      <c r="Q479" s="75"/>
      <c r="R479" s="75"/>
      <c r="S479" s="75"/>
      <c r="T479" s="75"/>
      <c r="U479" s="75"/>
      <c r="V479" s="77"/>
      <c r="W479" s="75"/>
      <c r="X479" s="75"/>
      <c r="Y479" s="75"/>
      <c r="Z479" s="78"/>
      <c r="AA479" s="78"/>
      <c r="AB479" s="75"/>
      <c r="AJ479" s="72"/>
    </row>
    <row r="480" spans="1:36" s="69" customFormat="1" x14ac:dyDescent="0.25">
      <c r="A480" s="75"/>
      <c r="B480" s="75"/>
      <c r="C480" s="76"/>
      <c r="D480" s="76"/>
      <c r="E480" s="75"/>
      <c r="F480" s="75"/>
      <c r="G480" s="75"/>
      <c r="H480" s="75"/>
      <c r="I480" s="75"/>
      <c r="J480" s="75"/>
      <c r="K480" s="75"/>
      <c r="L480" s="75"/>
      <c r="M480" s="75"/>
      <c r="N480" s="75"/>
      <c r="O480" s="75"/>
      <c r="P480" s="75"/>
      <c r="Q480" s="75"/>
      <c r="R480" s="75"/>
      <c r="S480" s="75"/>
      <c r="T480" s="75"/>
      <c r="U480" s="75"/>
      <c r="V480" s="77"/>
      <c r="W480" s="75"/>
      <c r="X480" s="75"/>
      <c r="Y480" s="75"/>
      <c r="Z480" s="78"/>
      <c r="AA480" s="78"/>
      <c r="AB480" s="75"/>
      <c r="AJ480" s="72"/>
    </row>
    <row r="481" spans="1:36" s="69" customFormat="1" x14ac:dyDescent="0.25">
      <c r="A481" s="75"/>
      <c r="B481" s="75"/>
      <c r="C481" s="76"/>
      <c r="D481" s="76"/>
      <c r="E481" s="75"/>
      <c r="F481" s="75"/>
      <c r="G481" s="75"/>
      <c r="H481" s="75"/>
      <c r="I481" s="75"/>
      <c r="J481" s="75"/>
      <c r="K481" s="75"/>
      <c r="L481" s="75"/>
      <c r="M481" s="75"/>
      <c r="N481" s="75"/>
      <c r="O481" s="75"/>
      <c r="P481" s="75"/>
      <c r="Q481" s="75"/>
      <c r="R481" s="75"/>
      <c r="S481" s="75"/>
      <c r="T481" s="75"/>
      <c r="U481" s="75"/>
      <c r="V481" s="77"/>
      <c r="W481" s="75"/>
      <c r="X481" s="75"/>
      <c r="Y481" s="75"/>
      <c r="Z481" s="78"/>
      <c r="AA481" s="78"/>
      <c r="AB481" s="75"/>
      <c r="AJ481" s="72"/>
    </row>
    <row r="482" spans="1:36" s="69" customFormat="1" x14ac:dyDescent="0.25">
      <c r="A482" s="75"/>
      <c r="B482" s="75"/>
      <c r="C482" s="76"/>
      <c r="D482" s="76"/>
      <c r="E482" s="75"/>
      <c r="F482" s="75"/>
      <c r="G482" s="75"/>
      <c r="H482" s="75"/>
      <c r="I482" s="75"/>
      <c r="J482" s="75"/>
      <c r="K482" s="75"/>
      <c r="L482" s="75"/>
      <c r="M482" s="75"/>
      <c r="N482" s="75"/>
      <c r="O482" s="75"/>
      <c r="P482" s="75"/>
      <c r="Q482" s="75"/>
      <c r="R482" s="75"/>
      <c r="S482" s="75"/>
      <c r="T482" s="75"/>
      <c r="U482" s="75"/>
      <c r="V482" s="77"/>
      <c r="W482" s="75"/>
      <c r="X482" s="75"/>
      <c r="Y482" s="75"/>
      <c r="Z482" s="78"/>
      <c r="AA482" s="78"/>
      <c r="AB482" s="75"/>
      <c r="AJ482" s="72"/>
    </row>
    <row r="483" spans="1:36" s="69" customFormat="1" x14ac:dyDescent="0.25">
      <c r="A483" s="75"/>
      <c r="B483" s="75"/>
      <c r="C483" s="76"/>
      <c r="D483" s="76"/>
      <c r="E483" s="75"/>
      <c r="F483" s="75"/>
      <c r="G483" s="75"/>
      <c r="H483" s="75"/>
      <c r="I483" s="75"/>
      <c r="J483" s="75"/>
      <c r="K483" s="75"/>
      <c r="L483" s="75"/>
      <c r="M483" s="75"/>
      <c r="N483" s="75"/>
      <c r="O483" s="75"/>
      <c r="P483" s="75"/>
      <c r="Q483" s="75"/>
      <c r="R483" s="75"/>
      <c r="S483" s="75"/>
      <c r="T483" s="75"/>
      <c r="U483" s="75"/>
      <c r="V483" s="77"/>
      <c r="W483" s="75"/>
      <c r="X483" s="75"/>
      <c r="Y483" s="75"/>
      <c r="Z483" s="78"/>
      <c r="AA483" s="78"/>
      <c r="AB483" s="75"/>
      <c r="AJ483" s="72"/>
    </row>
    <row r="484" spans="1:36" s="69" customFormat="1" x14ac:dyDescent="0.25">
      <c r="A484" s="75"/>
      <c r="B484" s="75"/>
      <c r="C484" s="76"/>
      <c r="D484" s="76"/>
      <c r="E484" s="75"/>
      <c r="F484" s="75"/>
      <c r="G484" s="75"/>
      <c r="H484" s="75"/>
      <c r="I484" s="75"/>
      <c r="J484" s="75"/>
      <c r="K484" s="75"/>
      <c r="L484" s="75"/>
      <c r="M484" s="75"/>
      <c r="N484" s="75"/>
      <c r="O484" s="75"/>
      <c r="P484" s="75"/>
      <c r="Q484" s="75"/>
      <c r="R484" s="75"/>
      <c r="S484" s="75"/>
      <c r="T484" s="75"/>
      <c r="U484" s="75"/>
      <c r="V484" s="77"/>
      <c r="W484" s="75"/>
      <c r="X484" s="75"/>
      <c r="Y484" s="75"/>
      <c r="Z484" s="78"/>
      <c r="AA484" s="78"/>
      <c r="AB484" s="75"/>
      <c r="AJ484" s="72"/>
    </row>
    <row r="485" spans="1:36" s="69" customFormat="1" x14ac:dyDescent="0.25">
      <c r="A485" s="75"/>
      <c r="B485" s="75"/>
      <c r="C485" s="76"/>
      <c r="D485" s="76"/>
      <c r="E485" s="75"/>
      <c r="F485" s="75"/>
      <c r="G485" s="75"/>
      <c r="H485" s="75"/>
      <c r="I485" s="75"/>
      <c r="J485" s="75"/>
      <c r="K485" s="75"/>
      <c r="L485" s="75"/>
      <c r="M485" s="75"/>
      <c r="N485" s="75"/>
      <c r="O485" s="75"/>
      <c r="P485" s="75"/>
      <c r="Q485" s="75"/>
      <c r="R485" s="75"/>
      <c r="S485" s="75"/>
      <c r="T485" s="75"/>
      <c r="U485" s="75"/>
      <c r="V485" s="77"/>
      <c r="W485" s="75"/>
      <c r="X485" s="75"/>
      <c r="Y485" s="75"/>
      <c r="Z485" s="78"/>
      <c r="AA485" s="78"/>
      <c r="AB485" s="75"/>
      <c r="AJ485" s="72"/>
    </row>
    <row r="486" spans="1:36" s="69" customFormat="1" x14ac:dyDescent="0.25">
      <c r="A486" s="75"/>
      <c r="B486" s="75"/>
      <c r="C486" s="76"/>
      <c r="D486" s="76"/>
      <c r="E486" s="75"/>
      <c r="F486" s="75"/>
      <c r="G486" s="75"/>
      <c r="H486" s="75"/>
      <c r="I486" s="75"/>
      <c r="J486" s="75"/>
      <c r="K486" s="75"/>
      <c r="L486" s="75"/>
      <c r="M486" s="75"/>
      <c r="N486" s="75"/>
      <c r="O486" s="75"/>
      <c r="P486" s="75"/>
      <c r="Q486" s="75"/>
      <c r="R486" s="75"/>
      <c r="S486" s="75"/>
      <c r="T486" s="75"/>
      <c r="U486" s="75"/>
      <c r="V486" s="77"/>
      <c r="W486" s="75"/>
      <c r="X486" s="75"/>
      <c r="Y486" s="75"/>
      <c r="Z486" s="78"/>
      <c r="AA486" s="78"/>
      <c r="AB486" s="75"/>
      <c r="AJ486" s="72"/>
    </row>
    <row r="487" spans="1:36" s="69" customFormat="1" x14ac:dyDescent="0.25">
      <c r="A487" s="75"/>
      <c r="B487" s="75"/>
      <c r="C487" s="76"/>
      <c r="D487" s="76"/>
      <c r="E487" s="75"/>
      <c r="F487" s="75"/>
      <c r="G487" s="75"/>
      <c r="H487" s="75"/>
      <c r="I487" s="75"/>
      <c r="J487" s="75"/>
      <c r="K487" s="75"/>
      <c r="L487" s="75"/>
      <c r="M487" s="75"/>
      <c r="N487" s="75"/>
      <c r="O487" s="75"/>
      <c r="P487" s="75"/>
      <c r="Q487" s="75"/>
      <c r="R487" s="75"/>
      <c r="S487" s="75"/>
      <c r="T487" s="75"/>
      <c r="U487" s="75"/>
      <c r="V487" s="77"/>
      <c r="W487" s="75"/>
      <c r="X487" s="75"/>
      <c r="Y487" s="75"/>
      <c r="Z487" s="78"/>
      <c r="AA487" s="78"/>
      <c r="AB487" s="75"/>
      <c r="AJ487" s="72"/>
    </row>
    <row r="488" spans="1:36" s="69" customFormat="1" x14ac:dyDescent="0.25">
      <c r="A488" s="75"/>
      <c r="B488" s="75"/>
      <c r="C488" s="76"/>
      <c r="D488" s="76"/>
      <c r="E488" s="75"/>
      <c r="F488" s="75"/>
      <c r="G488" s="75"/>
      <c r="H488" s="75"/>
      <c r="I488" s="75"/>
      <c r="J488" s="75"/>
      <c r="K488" s="75"/>
      <c r="L488" s="75"/>
      <c r="M488" s="75"/>
      <c r="N488" s="75"/>
      <c r="O488" s="75"/>
      <c r="P488" s="75"/>
      <c r="Q488" s="75"/>
      <c r="R488" s="75"/>
      <c r="S488" s="75"/>
      <c r="T488" s="75"/>
      <c r="U488" s="75"/>
      <c r="V488" s="77"/>
      <c r="W488" s="75"/>
      <c r="X488" s="75"/>
      <c r="Y488" s="75"/>
      <c r="Z488" s="78"/>
      <c r="AA488" s="78"/>
      <c r="AB488" s="75"/>
      <c r="AJ488" s="72"/>
    </row>
    <row r="489" spans="1:36" s="69" customFormat="1" x14ac:dyDescent="0.25">
      <c r="A489" s="75"/>
      <c r="B489" s="75"/>
      <c r="C489" s="76"/>
      <c r="D489" s="76"/>
      <c r="E489" s="75"/>
      <c r="F489" s="75"/>
      <c r="G489" s="75"/>
      <c r="H489" s="75"/>
      <c r="I489" s="75"/>
      <c r="J489" s="75"/>
      <c r="K489" s="75"/>
      <c r="L489" s="75"/>
      <c r="M489" s="75"/>
      <c r="N489" s="75"/>
      <c r="O489" s="75"/>
      <c r="P489" s="75"/>
      <c r="Q489" s="75"/>
      <c r="R489" s="75"/>
      <c r="S489" s="75"/>
      <c r="T489" s="75"/>
      <c r="U489" s="75"/>
      <c r="V489" s="77"/>
      <c r="W489" s="75"/>
      <c r="X489" s="75"/>
      <c r="Y489" s="75"/>
      <c r="Z489" s="78"/>
      <c r="AA489" s="78"/>
      <c r="AB489" s="75"/>
      <c r="AJ489" s="72"/>
    </row>
    <row r="490" spans="1:36" s="69" customFormat="1" x14ac:dyDescent="0.25">
      <c r="A490" s="75"/>
      <c r="B490" s="75"/>
      <c r="C490" s="76"/>
      <c r="D490" s="76"/>
      <c r="E490" s="75"/>
      <c r="F490" s="75"/>
      <c r="G490" s="75"/>
      <c r="H490" s="75"/>
      <c r="I490" s="75"/>
      <c r="J490" s="75"/>
      <c r="K490" s="75"/>
      <c r="L490" s="75"/>
      <c r="M490" s="75"/>
      <c r="N490" s="75"/>
      <c r="O490" s="75"/>
      <c r="P490" s="75"/>
      <c r="Q490" s="75"/>
      <c r="R490" s="75"/>
      <c r="S490" s="75"/>
      <c r="T490" s="75"/>
      <c r="U490" s="75"/>
      <c r="V490" s="77"/>
      <c r="W490" s="75"/>
      <c r="X490" s="75"/>
      <c r="Y490" s="75"/>
      <c r="Z490" s="78"/>
      <c r="AA490" s="78"/>
      <c r="AB490" s="75"/>
      <c r="AJ490" s="72"/>
    </row>
    <row r="491" spans="1:36" s="69" customFormat="1" x14ac:dyDescent="0.25">
      <c r="A491" s="75"/>
      <c r="B491" s="75"/>
      <c r="C491" s="76"/>
      <c r="D491" s="76"/>
      <c r="E491" s="75"/>
      <c r="F491" s="75"/>
      <c r="G491" s="75"/>
      <c r="H491" s="75"/>
      <c r="I491" s="75"/>
      <c r="J491" s="75"/>
      <c r="K491" s="75"/>
      <c r="L491" s="75"/>
      <c r="M491" s="75"/>
      <c r="N491" s="75"/>
      <c r="O491" s="75"/>
      <c r="P491" s="75"/>
      <c r="Q491" s="75"/>
      <c r="R491" s="75"/>
      <c r="S491" s="75"/>
      <c r="T491" s="75"/>
      <c r="U491" s="75"/>
      <c r="V491" s="77"/>
      <c r="W491" s="75"/>
      <c r="X491" s="75"/>
      <c r="Y491" s="75"/>
      <c r="Z491" s="78"/>
      <c r="AA491" s="78"/>
      <c r="AB491" s="75"/>
      <c r="AJ491" s="72"/>
    </row>
    <row r="492" spans="1:36" s="69" customFormat="1" x14ac:dyDescent="0.25">
      <c r="A492" s="75"/>
      <c r="B492" s="75"/>
      <c r="C492" s="76"/>
      <c r="D492" s="76"/>
      <c r="E492" s="75"/>
      <c r="F492" s="75"/>
      <c r="G492" s="75"/>
      <c r="H492" s="75"/>
      <c r="I492" s="75"/>
      <c r="J492" s="75"/>
      <c r="K492" s="75"/>
      <c r="L492" s="75"/>
      <c r="M492" s="75"/>
      <c r="N492" s="75"/>
      <c r="O492" s="75"/>
      <c r="P492" s="75"/>
      <c r="Q492" s="75"/>
      <c r="R492" s="75"/>
      <c r="S492" s="75"/>
      <c r="T492" s="75"/>
      <c r="U492" s="75"/>
      <c r="V492" s="77"/>
      <c r="W492" s="75"/>
      <c r="X492" s="75"/>
      <c r="Y492" s="75"/>
      <c r="Z492" s="78"/>
      <c r="AA492" s="78"/>
      <c r="AB492" s="75"/>
      <c r="AJ492" s="72"/>
    </row>
    <row r="493" spans="1:36" s="69" customFormat="1" x14ac:dyDescent="0.25">
      <c r="A493" s="75"/>
      <c r="B493" s="75"/>
      <c r="C493" s="76"/>
      <c r="D493" s="76"/>
      <c r="E493" s="75"/>
      <c r="F493" s="75"/>
      <c r="G493" s="75"/>
      <c r="H493" s="75"/>
      <c r="I493" s="75"/>
      <c r="J493" s="75"/>
      <c r="K493" s="75"/>
      <c r="L493" s="75"/>
      <c r="M493" s="75"/>
      <c r="N493" s="75"/>
      <c r="O493" s="75"/>
      <c r="P493" s="75"/>
      <c r="Q493" s="75"/>
      <c r="R493" s="75"/>
      <c r="S493" s="75"/>
      <c r="T493" s="75"/>
      <c r="U493" s="75"/>
      <c r="V493" s="77"/>
      <c r="W493" s="75"/>
      <c r="X493" s="75"/>
      <c r="Y493" s="75"/>
      <c r="Z493" s="78"/>
      <c r="AA493" s="78"/>
      <c r="AB493" s="75"/>
      <c r="AJ493" s="72"/>
    </row>
    <row r="494" spans="1:36" s="69" customFormat="1" x14ac:dyDescent="0.25">
      <c r="A494" s="75"/>
      <c r="B494" s="75"/>
      <c r="C494" s="76"/>
      <c r="D494" s="76"/>
      <c r="E494" s="75"/>
      <c r="F494" s="75"/>
      <c r="G494" s="75"/>
      <c r="H494" s="75"/>
      <c r="I494" s="75"/>
      <c r="J494" s="75"/>
      <c r="K494" s="75"/>
      <c r="L494" s="75"/>
      <c r="M494" s="75"/>
      <c r="N494" s="75"/>
      <c r="O494" s="75"/>
      <c r="P494" s="75"/>
      <c r="Q494" s="75"/>
      <c r="R494" s="75"/>
      <c r="S494" s="75"/>
      <c r="T494" s="75"/>
      <c r="U494" s="75"/>
      <c r="V494" s="77"/>
      <c r="W494" s="75"/>
      <c r="X494" s="75"/>
      <c r="Y494" s="75"/>
      <c r="Z494" s="78"/>
      <c r="AA494" s="78"/>
      <c r="AB494" s="75"/>
      <c r="AJ494" s="72"/>
    </row>
    <row r="495" spans="1:36" s="69" customFormat="1" x14ac:dyDescent="0.25">
      <c r="A495" s="75"/>
      <c r="B495" s="75"/>
      <c r="C495" s="76"/>
      <c r="D495" s="76"/>
      <c r="E495" s="75"/>
      <c r="F495" s="75"/>
      <c r="G495" s="75"/>
      <c r="H495" s="75"/>
      <c r="I495" s="75"/>
      <c r="J495" s="75"/>
      <c r="K495" s="75"/>
      <c r="L495" s="75"/>
      <c r="M495" s="75"/>
      <c r="N495" s="75"/>
      <c r="O495" s="75"/>
      <c r="P495" s="75"/>
      <c r="Q495" s="75"/>
      <c r="R495" s="75"/>
      <c r="S495" s="75"/>
      <c r="T495" s="75"/>
      <c r="U495" s="75"/>
      <c r="V495" s="77"/>
      <c r="W495" s="75"/>
      <c r="X495" s="75"/>
      <c r="Y495" s="75"/>
      <c r="Z495" s="78"/>
      <c r="AA495" s="78"/>
      <c r="AB495" s="75"/>
      <c r="AJ495" s="72"/>
    </row>
    <row r="496" spans="1:36" s="69" customFormat="1" x14ac:dyDescent="0.25">
      <c r="A496" s="75"/>
      <c r="B496" s="75"/>
      <c r="C496" s="76"/>
      <c r="D496" s="76"/>
      <c r="E496" s="75"/>
      <c r="F496" s="75"/>
      <c r="G496" s="75"/>
      <c r="H496" s="75"/>
      <c r="I496" s="75"/>
      <c r="J496" s="75"/>
      <c r="K496" s="75"/>
      <c r="L496" s="75"/>
      <c r="M496" s="75"/>
      <c r="N496" s="75"/>
      <c r="O496" s="75"/>
      <c r="P496" s="75"/>
      <c r="Q496" s="75"/>
      <c r="R496" s="75"/>
      <c r="S496" s="75"/>
      <c r="T496" s="75"/>
      <c r="U496" s="75"/>
      <c r="V496" s="77"/>
      <c r="W496" s="75"/>
      <c r="X496" s="75"/>
      <c r="Y496" s="75"/>
      <c r="Z496" s="78"/>
      <c r="AA496" s="78"/>
      <c r="AB496" s="75"/>
      <c r="AJ496" s="72"/>
    </row>
    <row r="497" spans="1:36" s="69" customFormat="1" x14ac:dyDescent="0.25">
      <c r="A497" s="75"/>
      <c r="B497" s="75"/>
      <c r="C497" s="76"/>
      <c r="D497" s="76"/>
      <c r="E497" s="75"/>
      <c r="F497" s="75"/>
      <c r="G497" s="75"/>
      <c r="H497" s="75"/>
      <c r="I497" s="75"/>
      <c r="J497" s="75"/>
      <c r="K497" s="75"/>
      <c r="L497" s="75"/>
      <c r="M497" s="75"/>
      <c r="N497" s="75"/>
      <c r="O497" s="75"/>
      <c r="P497" s="75"/>
      <c r="Q497" s="75"/>
      <c r="R497" s="75"/>
      <c r="S497" s="75"/>
      <c r="T497" s="75"/>
      <c r="U497" s="75"/>
      <c r="V497" s="77"/>
      <c r="W497" s="75"/>
      <c r="X497" s="75"/>
      <c r="Y497" s="75"/>
      <c r="Z497" s="78"/>
      <c r="AA497" s="78"/>
      <c r="AB497" s="75"/>
      <c r="AJ497" s="72"/>
    </row>
    <row r="498" spans="1:36" s="69" customFormat="1" x14ac:dyDescent="0.25">
      <c r="A498" s="75"/>
      <c r="B498" s="75"/>
      <c r="C498" s="76"/>
      <c r="D498" s="76"/>
      <c r="E498" s="75"/>
      <c r="F498" s="75"/>
      <c r="G498" s="75"/>
      <c r="H498" s="75"/>
      <c r="I498" s="75"/>
      <c r="J498" s="75"/>
      <c r="K498" s="75"/>
      <c r="L498" s="75"/>
      <c r="M498" s="75"/>
      <c r="N498" s="75"/>
      <c r="O498" s="75"/>
      <c r="P498" s="75"/>
      <c r="Q498" s="75"/>
      <c r="R498" s="75"/>
      <c r="S498" s="75"/>
      <c r="T498" s="75"/>
      <c r="U498" s="75"/>
      <c r="V498" s="77"/>
      <c r="W498" s="75"/>
      <c r="X498" s="75"/>
      <c r="Y498" s="75"/>
      <c r="Z498" s="78"/>
      <c r="AA498" s="78"/>
      <c r="AB498" s="75"/>
      <c r="AJ498" s="72"/>
    </row>
    <row r="499" spans="1:36" s="69" customFormat="1" x14ac:dyDescent="0.25">
      <c r="A499" s="75"/>
      <c r="B499" s="75"/>
      <c r="C499" s="76"/>
      <c r="D499" s="76"/>
      <c r="E499" s="75"/>
      <c r="F499" s="75"/>
      <c r="G499" s="75"/>
      <c r="H499" s="75"/>
      <c r="I499" s="75"/>
      <c r="J499" s="75"/>
      <c r="K499" s="75"/>
      <c r="L499" s="75"/>
      <c r="M499" s="75"/>
      <c r="N499" s="75"/>
      <c r="O499" s="75"/>
      <c r="P499" s="75"/>
      <c r="Q499" s="75"/>
      <c r="R499" s="75"/>
      <c r="S499" s="75"/>
      <c r="T499" s="75"/>
      <c r="U499" s="75"/>
      <c r="V499" s="77"/>
      <c r="W499" s="75"/>
      <c r="X499" s="75"/>
      <c r="Y499" s="75"/>
      <c r="Z499" s="78"/>
      <c r="AA499" s="78"/>
      <c r="AB499" s="75"/>
      <c r="AJ499" s="72"/>
    </row>
    <row r="500" spans="1:36" s="69" customFormat="1" x14ac:dyDescent="0.25">
      <c r="A500" s="75"/>
      <c r="B500" s="75"/>
      <c r="C500" s="76"/>
      <c r="D500" s="76"/>
      <c r="E500" s="75"/>
      <c r="F500" s="75"/>
      <c r="G500" s="75"/>
      <c r="H500" s="75"/>
      <c r="I500" s="75"/>
      <c r="J500" s="75"/>
      <c r="K500" s="75"/>
      <c r="L500" s="75"/>
      <c r="M500" s="75"/>
      <c r="N500" s="75"/>
      <c r="O500" s="75"/>
      <c r="P500" s="75"/>
      <c r="Q500" s="75"/>
      <c r="R500" s="75"/>
      <c r="S500" s="75"/>
      <c r="T500" s="75"/>
      <c r="U500" s="75"/>
      <c r="V500" s="77"/>
      <c r="W500" s="75"/>
      <c r="X500" s="75"/>
      <c r="Y500" s="75"/>
      <c r="Z500" s="78"/>
      <c r="AA500" s="78"/>
      <c r="AB500" s="75"/>
      <c r="AJ500" s="72"/>
    </row>
    <row r="501" spans="1:36" s="69" customFormat="1" x14ac:dyDescent="0.25">
      <c r="A501" s="75"/>
      <c r="B501" s="75"/>
      <c r="C501" s="76"/>
      <c r="D501" s="76"/>
      <c r="E501" s="75"/>
      <c r="F501" s="75"/>
      <c r="G501" s="75"/>
      <c r="H501" s="75"/>
      <c r="I501" s="75"/>
      <c r="J501" s="75"/>
      <c r="K501" s="75"/>
      <c r="L501" s="75"/>
      <c r="M501" s="75"/>
      <c r="N501" s="75"/>
      <c r="O501" s="75"/>
      <c r="P501" s="75"/>
      <c r="Q501" s="75"/>
      <c r="R501" s="75"/>
      <c r="S501" s="75"/>
      <c r="T501" s="75"/>
      <c r="U501" s="75"/>
      <c r="V501" s="77"/>
      <c r="W501" s="75"/>
      <c r="X501" s="75"/>
      <c r="Y501" s="75"/>
      <c r="Z501" s="78"/>
      <c r="AA501" s="78"/>
      <c r="AB501" s="75"/>
      <c r="AJ501" s="72"/>
    </row>
    <row r="502" spans="1:36" s="69" customFormat="1" x14ac:dyDescent="0.25">
      <c r="A502" s="75"/>
      <c r="B502" s="75"/>
      <c r="C502" s="76"/>
      <c r="D502" s="76"/>
      <c r="E502" s="75"/>
      <c r="F502" s="75"/>
      <c r="G502" s="75"/>
      <c r="H502" s="75"/>
      <c r="I502" s="75"/>
      <c r="J502" s="75"/>
      <c r="K502" s="75"/>
      <c r="L502" s="75"/>
      <c r="M502" s="75"/>
      <c r="N502" s="75"/>
      <c r="O502" s="75"/>
      <c r="P502" s="75"/>
      <c r="Q502" s="75"/>
      <c r="R502" s="75"/>
      <c r="S502" s="75"/>
      <c r="T502" s="75"/>
      <c r="U502" s="75"/>
      <c r="V502" s="77"/>
      <c r="W502" s="75"/>
      <c r="X502" s="75"/>
      <c r="Y502" s="75"/>
      <c r="Z502" s="78"/>
      <c r="AA502" s="78"/>
      <c r="AB502" s="75"/>
      <c r="AJ502" s="72"/>
    </row>
    <row r="503" spans="1:36" s="69" customFormat="1" x14ac:dyDescent="0.25">
      <c r="A503" s="75"/>
      <c r="B503" s="75"/>
      <c r="C503" s="76"/>
      <c r="D503" s="76"/>
      <c r="E503" s="75"/>
      <c r="F503" s="75"/>
      <c r="G503" s="75"/>
      <c r="H503" s="75"/>
      <c r="I503" s="75"/>
      <c r="J503" s="75"/>
      <c r="K503" s="75"/>
      <c r="L503" s="75"/>
      <c r="M503" s="75"/>
      <c r="N503" s="75"/>
      <c r="O503" s="75"/>
      <c r="P503" s="75"/>
      <c r="Q503" s="75"/>
      <c r="R503" s="75"/>
      <c r="S503" s="75"/>
      <c r="T503" s="75"/>
      <c r="U503" s="75"/>
      <c r="V503" s="77"/>
      <c r="W503" s="75"/>
      <c r="X503" s="75"/>
      <c r="Y503" s="75"/>
      <c r="Z503" s="78"/>
      <c r="AA503" s="78"/>
      <c r="AB503" s="75"/>
      <c r="AJ503" s="72"/>
    </row>
    <row r="504" spans="1:36" s="69" customFormat="1" x14ac:dyDescent="0.25">
      <c r="A504" s="75"/>
      <c r="B504" s="75"/>
      <c r="C504" s="76"/>
      <c r="D504" s="76"/>
      <c r="E504" s="75"/>
      <c r="F504" s="75"/>
      <c r="G504" s="75"/>
      <c r="H504" s="75"/>
      <c r="I504" s="75"/>
      <c r="J504" s="75"/>
      <c r="K504" s="75"/>
      <c r="L504" s="75"/>
      <c r="M504" s="75"/>
      <c r="N504" s="75"/>
      <c r="O504" s="75"/>
      <c r="P504" s="75"/>
      <c r="Q504" s="75"/>
      <c r="R504" s="75"/>
      <c r="S504" s="75"/>
      <c r="T504" s="75"/>
      <c r="U504" s="75"/>
      <c r="V504" s="77"/>
      <c r="W504" s="75"/>
      <c r="X504" s="75"/>
      <c r="Y504" s="75"/>
      <c r="Z504" s="78"/>
      <c r="AA504" s="78"/>
      <c r="AB504" s="75"/>
      <c r="AJ504" s="72"/>
    </row>
    <row r="505" spans="1:36" s="69" customFormat="1" x14ac:dyDescent="0.25">
      <c r="A505" s="75"/>
      <c r="B505" s="75"/>
      <c r="C505" s="76"/>
      <c r="D505" s="76"/>
      <c r="E505" s="75"/>
      <c r="F505" s="75"/>
      <c r="G505" s="75"/>
      <c r="H505" s="75"/>
      <c r="I505" s="75"/>
      <c r="J505" s="75"/>
      <c r="K505" s="75"/>
      <c r="L505" s="75"/>
      <c r="M505" s="75"/>
      <c r="N505" s="75"/>
      <c r="O505" s="75"/>
      <c r="P505" s="75"/>
      <c r="Q505" s="75"/>
      <c r="R505" s="75"/>
      <c r="S505" s="75"/>
      <c r="T505" s="75"/>
      <c r="U505" s="75"/>
      <c r="V505" s="77"/>
      <c r="W505" s="75"/>
      <c r="X505" s="75"/>
      <c r="Y505" s="75"/>
      <c r="Z505" s="78"/>
      <c r="AA505" s="78"/>
      <c r="AB505" s="75"/>
      <c r="AJ505" s="72"/>
    </row>
    <row r="506" spans="1:36" s="69" customFormat="1" x14ac:dyDescent="0.25">
      <c r="A506" s="75"/>
      <c r="B506" s="75"/>
      <c r="C506" s="76"/>
      <c r="D506" s="76"/>
      <c r="E506" s="75"/>
      <c r="F506" s="75"/>
      <c r="G506" s="75"/>
      <c r="H506" s="75"/>
      <c r="I506" s="75"/>
      <c r="J506" s="75"/>
      <c r="K506" s="75"/>
      <c r="L506" s="75"/>
      <c r="M506" s="75"/>
      <c r="N506" s="75"/>
      <c r="O506" s="75"/>
      <c r="P506" s="75"/>
      <c r="Q506" s="75"/>
      <c r="R506" s="75"/>
      <c r="S506" s="75"/>
      <c r="T506" s="75"/>
      <c r="U506" s="75"/>
      <c r="V506" s="77"/>
      <c r="W506" s="75"/>
      <c r="X506" s="75"/>
      <c r="Y506" s="75"/>
      <c r="Z506" s="78"/>
      <c r="AA506" s="78"/>
      <c r="AB506" s="75"/>
      <c r="AJ506" s="72"/>
    </row>
    <row r="507" spans="1:36" s="69" customFormat="1" x14ac:dyDescent="0.25">
      <c r="A507" s="75"/>
      <c r="B507" s="75"/>
      <c r="C507" s="76"/>
      <c r="D507" s="76"/>
      <c r="E507" s="75"/>
      <c r="F507" s="75"/>
      <c r="G507" s="75"/>
      <c r="H507" s="75"/>
      <c r="I507" s="75"/>
      <c r="J507" s="75"/>
      <c r="K507" s="75"/>
      <c r="L507" s="75"/>
      <c r="M507" s="75"/>
      <c r="N507" s="75"/>
      <c r="O507" s="75"/>
      <c r="P507" s="75"/>
      <c r="Q507" s="75"/>
      <c r="R507" s="75"/>
      <c r="S507" s="75"/>
      <c r="T507" s="75"/>
      <c r="U507" s="75"/>
      <c r="V507" s="77"/>
      <c r="W507" s="75"/>
      <c r="X507" s="75"/>
      <c r="Y507" s="75"/>
      <c r="Z507" s="78"/>
      <c r="AA507" s="78"/>
      <c r="AB507" s="75"/>
      <c r="AJ507" s="72"/>
    </row>
    <row r="508" spans="1:36" s="69" customFormat="1" x14ac:dyDescent="0.25">
      <c r="A508" s="75"/>
      <c r="B508" s="75"/>
      <c r="C508" s="76"/>
      <c r="D508" s="76"/>
      <c r="E508" s="75"/>
      <c r="F508" s="75"/>
      <c r="G508" s="75"/>
      <c r="H508" s="75"/>
      <c r="I508" s="75"/>
      <c r="J508" s="75"/>
      <c r="K508" s="75"/>
      <c r="L508" s="75"/>
      <c r="M508" s="75"/>
      <c r="N508" s="75"/>
      <c r="O508" s="75"/>
      <c r="P508" s="75"/>
      <c r="Q508" s="75"/>
      <c r="R508" s="75"/>
      <c r="S508" s="75"/>
      <c r="T508" s="75"/>
      <c r="U508" s="75"/>
      <c r="V508" s="77"/>
      <c r="W508" s="75"/>
      <c r="X508" s="75"/>
      <c r="Y508" s="75"/>
      <c r="Z508" s="78"/>
      <c r="AA508" s="78"/>
      <c r="AB508" s="75"/>
      <c r="AJ508" s="72"/>
    </row>
    <row r="509" spans="1:36" s="69" customFormat="1" x14ac:dyDescent="0.25">
      <c r="A509" s="75"/>
      <c r="B509" s="75"/>
      <c r="C509" s="76"/>
      <c r="D509" s="76"/>
      <c r="E509" s="75"/>
      <c r="F509" s="75"/>
      <c r="G509" s="75"/>
      <c r="H509" s="75"/>
      <c r="I509" s="75"/>
      <c r="J509" s="75"/>
      <c r="K509" s="75"/>
      <c r="L509" s="75"/>
      <c r="M509" s="75"/>
      <c r="N509" s="75"/>
      <c r="O509" s="75"/>
      <c r="P509" s="75"/>
      <c r="Q509" s="75"/>
      <c r="R509" s="75"/>
      <c r="S509" s="75"/>
      <c r="T509" s="75"/>
      <c r="U509" s="75"/>
      <c r="V509" s="77"/>
      <c r="W509" s="75"/>
      <c r="X509" s="75"/>
      <c r="Y509" s="75"/>
      <c r="Z509" s="78"/>
      <c r="AA509" s="78"/>
      <c r="AB509" s="75"/>
      <c r="AJ509" s="72"/>
    </row>
    <row r="510" spans="1:36" s="69" customFormat="1" x14ac:dyDescent="0.25">
      <c r="A510" s="75"/>
      <c r="B510" s="75"/>
      <c r="C510" s="76"/>
      <c r="D510" s="76"/>
      <c r="E510" s="75"/>
      <c r="F510" s="75"/>
      <c r="G510" s="75"/>
      <c r="H510" s="75"/>
      <c r="I510" s="75"/>
      <c r="J510" s="75"/>
      <c r="K510" s="75"/>
      <c r="L510" s="75"/>
      <c r="M510" s="75"/>
      <c r="N510" s="75"/>
      <c r="O510" s="75"/>
      <c r="P510" s="75"/>
      <c r="Q510" s="75"/>
      <c r="R510" s="75"/>
      <c r="S510" s="75"/>
      <c r="T510" s="75"/>
      <c r="U510" s="75"/>
      <c r="V510" s="77"/>
      <c r="W510" s="75"/>
      <c r="X510" s="75"/>
      <c r="Y510" s="75"/>
      <c r="Z510" s="78"/>
      <c r="AA510" s="78"/>
      <c r="AB510" s="75"/>
      <c r="AJ510" s="72"/>
    </row>
    <row r="511" spans="1:36" s="69" customFormat="1" x14ac:dyDescent="0.25">
      <c r="A511" s="75"/>
      <c r="B511" s="75"/>
      <c r="C511" s="76"/>
      <c r="D511" s="76"/>
      <c r="E511" s="75"/>
      <c r="F511" s="75"/>
      <c r="G511" s="75"/>
      <c r="H511" s="75"/>
      <c r="I511" s="75"/>
      <c r="J511" s="75"/>
      <c r="K511" s="75"/>
      <c r="L511" s="75"/>
      <c r="M511" s="75"/>
      <c r="N511" s="75"/>
      <c r="O511" s="75"/>
      <c r="P511" s="75"/>
      <c r="Q511" s="75"/>
      <c r="R511" s="75"/>
      <c r="S511" s="75"/>
      <c r="T511" s="75"/>
      <c r="U511" s="75"/>
      <c r="V511" s="77"/>
      <c r="W511" s="75"/>
      <c r="X511" s="75"/>
      <c r="Y511" s="75"/>
      <c r="Z511" s="78"/>
      <c r="AA511" s="78"/>
      <c r="AB511" s="75"/>
      <c r="AJ511" s="72"/>
    </row>
    <row r="512" spans="1:36" s="69" customFormat="1" x14ac:dyDescent="0.25">
      <c r="A512" s="75"/>
      <c r="B512" s="75"/>
      <c r="C512" s="76"/>
      <c r="D512" s="76"/>
      <c r="E512" s="75"/>
      <c r="F512" s="75"/>
      <c r="G512" s="75"/>
      <c r="H512" s="75"/>
      <c r="I512" s="75"/>
      <c r="J512" s="75"/>
      <c r="K512" s="75"/>
      <c r="L512" s="75"/>
      <c r="M512" s="75"/>
      <c r="N512" s="75"/>
      <c r="O512" s="75"/>
      <c r="P512" s="75"/>
      <c r="Q512" s="75"/>
      <c r="R512" s="75"/>
      <c r="S512" s="75"/>
      <c r="T512" s="75"/>
      <c r="U512" s="75"/>
      <c r="V512" s="77"/>
      <c r="W512" s="75"/>
      <c r="X512" s="75"/>
      <c r="Y512" s="75"/>
      <c r="Z512" s="78"/>
      <c r="AA512" s="78"/>
      <c r="AB512" s="75"/>
      <c r="AJ512" s="72"/>
    </row>
    <row r="513" spans="1:36" s="69" customFormat="1" x14ac:dyDescent="0.25">
      <c r="A513" s="75"/>
      <c r="B513" s="75"/>
      <c r="C513" s="76"/>
      <c r="D513" s="76"/>
      <c r="E513" s="75"/>
      <c r="F513" s="75"/>
      <c r="G513" s="75"/>
      <c r="H513" s="75"/>
      <c r="I513" s="75"/>
      <c r="J513" s="75"/>
      <c r="K513" s="75"/>
      <c r="L513" s="75"/>
      <c r="M513" s="75"/>
      <c r="N513" s="75"/>
      <c r="O513" s="75"/>
      <c r="P513" s="75"/>
      <c r="Q513" s="75"/>
      <c r="R513" s="75"/>
      <c r="S513" s="75"/>
      <c r="T513" s="75"/>
      <c r="U513" s="75"/>
      <c r="V513" s="77"/>
      <c r="W513" s="75"/>
      <c r="X513" s="75"/>
      <c r="Y513" s="75"/>
      <c r="Z513" s="78"/>
      <c r="AA513" s="78"/>
      <c r="AB513" s="75"/>
      <c r="AJ513" s="72"/>
    </row>
    <row r="514" spans="1:36" s="69" customFormat="1" x14ac:dyDescent="0.25">
      <c r="A514" s="75"/>
      <c r="B514" s="75"/>
      <c r="C514" s="76"/>
      <c r="D514" s="76"/>
      <c r="E514" s="75"/>
      <c r="F514" s="75"/>
      <c r="G514" s="75"/>
      <c r="H514" s="75"/>
      <c r="I514" s="75"/>
      <c r="J514" s="75"/>
      <c r="K514" s="75"/>
      <c r="L514" s="75"/>
      <c r="M514" s="75"/>
      <c r="N514" s="75"/>
      <c r="O514" s="75"/>
      <c r="P514" s="75"/>
      <c r="Q514" s="75"/>
      <c r="R514" s="75"/>
      <c r="S514" s="75"/>
      <c r="T514" s="75"/>
      <c r="U514" s="75"/>
      <c r="V514" s="77"/>
      <c r="W514" s="75"/>
      <c r="X514" s="75"/>
      <c r="Y514" s="75"/>
      <c r="Z514" s="78"/>
      <c r="AA514" s="78"/>
      <c r="AB514" s="75"/>
      <c r="AJ514" s="72"/>
    </row>
    <row r="515" spans="1:36" s="69" customFormat="1" x14ac:dyDescent="0.25">
      <c r="A515" s="75"/>
      <c r="B515" s="75"/>
      <c r="C515" s="76"/>
      <c r="D515" s="76"/>
      <c r="E515" s="75"/>
      <c r="F515" s="75"/>
      <c r="G515" s="75"/>
      <c r="H515" s="75"/>
      <c r="I515" s="75"/>
      <c r="J515" s="75"/>
      <c r="K515" s="75"/>
      <c r="L515" s="75"/>
      <c r="M515" s="75"/>
      <c r="N515" s="75"/>
      <c r="O515" s="75"/>
      <c r="P515" s="75"/>
      <c r="Q515" s="75"/>
      <c r="R515" s="75"/>
      <c r="S515" s="75"/>
      <c r="T515" s="75"/>
      <c r="U515" s="75"/>
      <c r="V515" s="77"/>
      <c r="W515" s="75"/>
      <c r="X515" s="75"/>
      <c r="Y515" s="75"/>
      <c r="Z515" s="78"/>
      <c r="AA515" s="78"/>
      <c r="AB515" s="75"/>
      <c r="AJ515" s="72"/>
    </row>
    <row r="516" spans="1:36" s="69" customFormat="1" x14ac:dyDescent="0.25">
      <c r="A516" s="75"/>
      <c r="B516" s="75"/>
      <c r="C516" s="76"/>
      <c r="D516" s="76"/>
      <c r="E516" s="75"/>
      <c r="F516" s="75"/>
      <c r="G516" s="75"/>
      <c r="H516" s="75"/>
      <c r="I516" s="75"/>
      <c r="J516" s="75"/>
      <c r="K516" s="75"/>
      <c r="L516" s="75"/>
      <c r="M516" s="75"/>
      <c r="N516" s="75"/>
      <c r="O516" s="75"/>
      <c r="P516" s="75"/>
      <c r="Q516" s="75"/>
      <c r="R516" s="75"/>
      <c r="S516" s="75"/>
      <c r="T516" s="75"/>
      <c r="U516" s="75"/>
      <c r="V516" s="77"/>
      <c r="W516" s="75"/>
      <c r="X516" s="75"/>
      <c r="Y516" s="75"/>
      <c r="Z516" s="78"/>
      <c r="AA516" s="78"/>
      <c r="AB516" s="75"/>
      <c r="AJ516" s="72"/>
    </row>
    <row r="517" spans="1:36" s="69" customFormat="1" x14ac:dyDescent="0.25">
      <c r="A517" s="75"/>
      <c r="B517" s="75"/>
      <c r="C517" s="76"/>
      <c r="D517" s="76"/>
      <c r="E517" s="75"/>
      <c r="F517" s="75"/>
      <c r="G517" s="75"/>
      <c r="H517" s="75"/>
      <c r="I517" s="75"/>
      <c r="J517" s="75"/>
      <c r="K517" s="75"/>
      <c r="L517" s="75"/>
      <c r="M517" s="75"/>
      <c r="N517" s="75"/>
      <c r="O517" s="75"/>
      <c r="P517" s="75"/>
      <c r="Q517" s="75"/>
      <c r="R517" s="75"/>
      <c r="S517" s="75"/>
      <c r="T517" s="75"/>
      <c r="U517" s="75"/>
      <c r="V517" s="77"/>
      <c r="W517" s="75"/>
      <c r="X517" s="75"/>
      <c r="Y517" s="75"/>
      <c r="Z517" s="78"/>
      <c r="AA517" s="78"/>
      <c r="AB517" s="75"/>
      <c r="AJ517" s="72"/>
    </row>
    <row r="518" spans="1:36" s="69" customFormat="1" x14ac:dyDescent="0.25">
      <c r="A518" s="75"/>
      <c r="B518" s="75"/>
      <c r="C518" s="76"/>
      <c r="D518" s="76"/>
      <c r="E518" s="75"/>
      <c r="F518" s="75"/>
      <c r="G518" s="75"/>
      <c r="H518" s="75"/>
      <c r="I518" s="75"/>
      <c r="J518" s="75"/>
      <c r="K518" s="75"/>
      <c r="L518" s="75"/>
      <c r="M518" s="75"/>
      <c r="N518" s="75"/>
      <c r="O518" s="75"/>
      <c r="P518" s="75"/>
      <c r="Q518" s="75"/>
      <c r="R518" s="75"/>
      <c r="S518" s="75"/>
      <c r="T518" s="75"/>
      <c r="U518" s="75"/>
      <c r="V518" s="77"/>
      <c r="W518" s="75"/>
      <c r="X518" s="75"/>
      <c r="Y518" s="75"/>
      <c r="Z518" s="78"/>
      <c r="AA518" s="78"/>
      <c r="AB518" s="75"/>
      <c r="AJ518" s="72"/>
    </row>
    <row r="519" spans="1:36" s="69" customFormat="1" x14ac:dyDescent="0.25">
      <c r="A519" s="75"/>
      <c r="B519" s="75"/>
      <c r="C519" s="76"/>
      <c r="D519" s="76"/>
      <c r="E519" s="75"/>
      <c r="F519" s="75"/>
      <c r="G519" s="75"/>
      <c r="H519" s="75"/>
      <c r="I519" s="75"/>
      <c r="J519" s="75"/>
      <c r="K519" s="75"/>
      <c r="L519" s="75"/>
      <c r="M519" s="75"/>
      <c r="N519" s="75"/>
      <c r="O519" s="75"/>
      <c r="P519" s="75"/>
      <c r="Q519" s="75"/>
      <c r="R519" s="75"/>
      <c r="S519" s="75"/>
      <c r="T519" s="75"/>
      <c r="U519" s="75"/>
      <c r="V519" s="77"/>
      <c r="W519" s="75"/>
      <c r="X519" s="75"/>
      <c r="Y519" s="75"/>
      <c r="Z519" s="78"/>
      <c r="AA519" s="78"/>
      <c r="AB519" s="75"/>
      <c r="AJ519" s="72"/>
    </row>
    <row r="520" spans="1:36" s="69" customFormat="1" x14ac:dyDescent="0.25">
      <c r="A520" s="75"/>
      <c r="B520" s="75"/>
      <c r="C520" s="76"/>
      <c r="D520" s="76"/>
      <c r="E520" s="75"/>
      <c r="F520" s="75"/>
      <c r="G520" s="75"/>
      <c r="H520" s="75"/>
      <c r="I520" s="75"/>
      <c r="J520" s="75"/>
      <c r="K520" s="75"/>
      <c r="L520" s="75"/>
      <c r="M520" s="75"/>
      <c r="N520" s="75"/>
      <c r="O520" s="75"/>
      <c r="P520" s="75"/>
      <c r="Q520" s="75"/>
      <c r="R520" s="75"/>
      <c r="S520" s="75"/>
      <c r="T520" s="75"/>
      <c r="U520" s="75"/>
      <c r="V520" s="77"/>
      <c r="W520" s="75"/>
      <c r="X520" s="75"/>
      <c r="Y520" s="75"/>
      <c r="Z520" s="78"/>
      <c r="AA520" s="78"/>
      <c r="AB520" s="75"/>
      <c r="AJ520" s="72"/>
    </row>
    <row r="521" spans="1:36" s="69" customFormat="1" x14ac:dyDescent="0.25">
      <c r="A521" s="75"/>
      <c r="B521" s="75"/>
      <c r="C521" s="76"/>
      <c r="D521" s="76"/>
      <c r="E521" s="75"/>
      <c r="F521" s="75"/>
      <c r="G521" s="75"/>
      <c r="H521" s="75"/>
      <c r="I521" s="75"/>
      <c r="J521" s="75"/>
      <c r="K521" s="75"/>
      <c r="L521" s="75"/>
      <c r="M521" s="75"/>
      <c r="N521" s="75"/>
      <c r="O521" s="75"/>
      <c r="P521" s="75"/>
      <c r="Q521" s="75"/>
      <c r="R521" s="75"/>
      <c r="S521" s="75"/>
      <c r="T521" s="75"/>
      <c r="U521" s="75"/>
      <c r="V521" s="77"/>
      <c r="W521" s="75"/>
      <c r="X521" s="75"/>
      <c r="Y521" s="75"/>
      <c r="Z521" s="78"/>
      <c r="AA521" s="78"/>
      <c r="AB521" s="75"/>
      <c r="AJ521" s="72"/>
    </row>
    <row r="522" spans="1:36" s="69" customFormat="1" x14ac:dyDescent="0.25">
      <c r="A522" s="75"/>
      <c r="B522" s="75"/>
      <c r="C522" s="76"/>
      <c r="D522" s="76"/>
      <c r="E522" s="75"/>
      <c r="F522" s="75"/>
      <c r="G522" s="75"/>
      <c r="H522" s="75"/>
      <c r="I522" s="75"/>
      <c r="J522" s="75"/>
      <c r="K522" s="75"/>
      <c r="L522" s="75"/>
      <c r="M522" s="75"/>
      <c r="N522" s="75"/>
      <c r="O522" s="75"/>
      <c r="P522" s="75"/>
      <c r="Q522" s="75"/>
      <c r="R522" s="75"/>
      <c r="S522" s="75"/>
      <c r="T522" s="75"/>
      <c r="U522" s="75"/>
      <c r="V522" s="77"/>
      <c r="W522" s="75"/>
      <c r="X522" s="75"/>
      <c r="Y522" s="75"/>
      <c r="Z522" s="78"/>
      <c r="AA522" s="78"/>
      <c r="AB522" s="75"/>
      <c r="AJ522" s="72"/>
    </row>
    <row r="523" spans="1:36" s="69" customFormat="1" x14ac:dyDescent="0.25">
      <c r="A523" s="75"/>
      <c r="B523" s="75"/>
      <c r="C523" s="76"/>
      <c r="D523" s="76"/>
      <c r="E523" s="75"/>
      <c r="F523" s="75"/>
      <c r="G523" s="75"/>
      <c r="H523" s="75"/>
      <c r="I523" s="75"/>
      <c r="J523" s="75"/>
      <c r="K523" s="75"/>
      <c r="L523" s="75"/>
      <c r="M523" s="75"/>
      <c r="N523" s="75"/>
      <c r="O523" s="75"/>
      <c r="P523" s="75"/>
      <c r="Q523" s="75"/>
      <c r="R523" s="75"/>
      <c r="S523" s="75"/>
      <c r="T523" s="75"/>
      <c r="U523" s="75"/>
      <c r="V523" s="77"/>
      <c r="W523" s="75"/>
      <c r="X523" s="75"/>
      <c r="Y523" s="75"/>
      <c r="Z523" s="78"/>
      <c r="AA523" s="78"/>
      <c r="AB523" s="75"/>
      <c r="AJ523" s="72"/>
    </row>
    <row r="524" spans="1:36" s="69" customFormat="1" x14ac:dyDescent="0.25">
      <c r="A524" s="75"/>
      <c r="B524" s="75"/>
      <c r="C524" s="76"/>
      <c r="D524" s="76"/>
      <c r="E524" s="75"/>
      <c r="F524" s="75"/>
      <c r="G524" s="75"/>
      <c r="H524" s="75"/>
      <c r="I524" s="75"/>
      <c r="J524" s="75"/>
      <c r="K524" s="75"/>
      <c r="L524" s="75"/>
      <c r="M524" s="75"/>
      <c r="N524" s="75"/>
      <c r="O524" s="75"/>
      <c r="P524" s="75"/>
      <c r="Q524" s="75"/>
      <c r="R524" s="75"/>
      <c r="S524" s="75"/>
      <c r="T524" s="75"/>
      <c r="U524" s="75"/>
      <c r="V524" s="77"/>
      <c r="W524" s="75"/>
      <c r="X524" s="75"/>
      <c r="Y524" s="75"/>
      <c r="Z524" s="78"/>
      <c r="AA524" s="78"/>
      <c r="AB524" s="75"/>
      <c r="AJ524" s="72"/>
    </row>
    <row r="525" spans="1:36" s="69" customFormat="1" x14ac:dyDescent="0.25">
      <c r="A525" s="75"/>
      <c r="B525" s="75"/>
      <c r="C525" s="76"/>
      <c r="D525" s="76"/>
      <c r="E525" s="75"/>
      <c r="F525" s="75"/>
      <c r="G525" s="75"/>
      <c r="H525" s="75"/>
      <c r="I525" s="75"/>
      <c r="J525" s="75"/>
      <c r="K525" s="75"/>
      <c r="L525" s="75"/>
      <c r="M525" s="75"/>
      <c r="N525" s="75"/>
      <c r="O525" s="75"/>
      <c r="P525" s="75"/>
      <c r="Q525" s="75"/>
      <c r="R525" s="75"/>
      <c r="S525" s="75"/>
      <c r="T525" s="75"/>
      <c r="U525" s="75"/>
      <c r="V525" s="77"/>
      <c r="W525" s="75"/>
      <c r="X525" s="75"/>
      <c r="Y525" s="75"/>
      <c r="Z525" s="78"/>
      <c r="AA525" s="78"/>
      <c r="AB525" s="75"/>
      <c r="AJ525" s="72"/>
    </row>
    <row r="526" spans="1:36" s="69" customFormat="1" x14ac:dyDescent="0.25">
      <c r="A526" s="75"/>
      <c r="B526" s="75"/>
      <c r="C526" s="76"/>
      <c r="D526" s="76"/>
      <c r="E526" s="75"/>
      <c r="F526" s="75"/>
      <c r="G526" s="75"/>
      <c r="H526" s="75"/>
      <c r="I526" s="75"/>
      <c r="J526" s="75"/>
      <c r="K526" s="75"/>
      <c r="L526" s="75"/>
      <c r="M526" s="75"/>
      <c r="N526" s="75"/>
      <c r="O526" s="75"/>
      <c r="P526" s="75"/>
      <c r="Q526" s="75"/>
      <c r="R526" s="75"/>
      <c r="S526" s="75"/>
      <c r="T526" s="75"/>
      <c r="U526" s="75"/>
      <c r="V526" s="77"/>
      <c r="W526" s="75"/>
      <c r="X526" s="75"/>
      <c r="Y526" s="75"/>
      <c r="Z526" s="78"/>
      <c r="AA526" s="78"/>
      <c r="AB526" s="75"/>
      <c r="AJ526" s="72"/>
    </row>
    <row r="527" spans="1:36" s="69" customFormat="1" x14ac:dyDescent="0.25">
      <c r="A527" s="75"/>
      <c r="B527" s="75"/>
      <c r="C527" s="76"/>
      <c r="D527" s="76"/>
      <c r="E527" s="75"/>
      <c r="F527" s="75"/>
      <c r="G527" s="75"/>
      <c r="H527" s="75"/>
      <c r="I527" s="75"/>
      <c r="J527" s="75"/>
      <c r="K527" s="75"/>
      <c r="L527" s="75"/>
      <c r="M527" s="75"/>
      <c r="N527" s="75"/>
      <c r="O527" s="75"/>
      <c r="P527" s="75"/>
      <c r="Q527" s="75"/>
      <c r="R527" s="75"/>
      <c r="S527" s="75"/>
      <c r="T527" s="75"/>
      <c r="U527" s="75"/>
      <c r="V527" s="77"/>
      <c r="W527" s="75"/>
      <c r="X527" s="75"/>
      <c r="Y527" s="75"/>
      <c r="Z527" s="78"/>
      <c r="AA527" s="78"/>
      <c r="AB527" s="75"/>
      <c r="AJ527" s="72"/>
    </row>
    <row r="528" spans="1:36" s="69" customFormat="1" x14ac:dyDescent="0.25">
      <c r="A528" s="75"/>
      <c r="B528" s="75"/>
      <c r="C528" s="76"/>
      <c r="D528" s="76"/>
      <c r="E528" s="75"/>
      <c r="F528" s="75"/>
      <c r="G528" s="75"/>
      <c r="H528" s="75"/>
      <c r="I528" s="75"/>
      <c r="J528" s="75"/>
      <c r="K528" s="75"/>
      <c r="L528" s="75"/>
      <c r="M528" s="75"/>
      <c r="N528" s="75"/>
      <c r="O528" s="75"/>
      <c r="P528" s="75"/>
      <c r="Q528" s="75"/>
      <c r="R528" s="75"/>
      <c r="S528" s="75"/>
      <c r="T528" s="75"/>
      <c r="U528" s="75"/>
      <c r="V528" s="77"/>
      <c r="W528" s="75"/>
      <c r="X528" s="75"/>
      <c r="Y528" s="75"/>
      <c r="Z528" s="78"/>
      <c r="AA528" s="78"/>
      <c r="AB528" s="75"/>
      <c r="AJ528" s="72"/>
    </row>
    <row r="529" spans="1:36" s="69" customFormat="1" x14ac:dyDescent="0.25">
      <c r="A529" s="75"/>
      <c r="B529" s="75"/>
      <c r="C529" s="76"/>
      <c r="D529" s="76"/>
      <c r="E529" s="75"/>
      <c r="F529" s="75"/>
      <c r="G529" s="75"/>
      <c r="H529" s="75"/>
      <c r="I529" s="75"/>
      <c r="J529" s="75"/>
      <c r="K529" s="75"/>
      <c r="L529" s="75"/>
      <c r="M529" s="75"/>
      <c r="N529" s="75"/>
      <c r="O529" s="75"/>
      <c r="P529" s="75"/>
      <c r="Q529" s="75"/>
      <c r="R529" s="75"/>
      <c r="S529" s="75"/>
      <c r="T529" s="75"/>
      <c r="U529" s="75"/>
      <c r="V529" s="77"/>
      <c r="W529" s="75"/>
      <c r="X529" s="75"/>
      <c r="Y529" s="75"/>
      <c r="Z529" s="78"/>
      <c r="AA529" s="78"/>
      <c r="AB529" s="75"/>
      <c r="AJ529" s="72"/>
    </row>
    <row r="530" spans="1:36" s="69" customFormat="1" x14ac:dyDescent="0.25">
      <c r="A530" s="75"/>
      <c r="B530" s="75"/>
      <c r="C530" s="76"/>
      <c r="D530" s="76"/>
      <c r="E530" s="75"/>
      <c r="F530" s="75"/>
      <c r="G530" s="75"/>
      <c r="H530" s="75"/>
      <c r="I530" s="75"/>
      <c r="J530" s="75"/>
      <c r="K530" s="75"/>
      <c r="L530" s="75"/>
      <c r="M530" s="75"/>
      <c r="N530" s="75"/>
      <c r="O530" s="75"/>
      <c r="P530" s="75"/>
      <c r="Q530" s="75"/>
      <c r="R530" s="75"/>
      <c r="S530" s="75"/>
      <c r="T530" s="75"/>
      <c r="U530" s="75"/>
      <c r="V530" s="77"/>
      <c r="W530" s="75"/>
      <c r="X530" s="75"/>
      <c r="Y530" s="75"/>
      <c r="Z530" s="78"/>
      <c r="AA530" s="78"/>
      <c r="AB530" s="75"/>
      <c r="AJ530" s="72"/>
    </row>
    <row r="531" spans="1:36" s="69" customFormat="1" x14ac:dyDescent="0.25">
      <c r="A531" s="75"/>
      <c r="B531" s="75"/>
      <c r="C531" s="76"/>
      <c r="D531" s="76"/>
      <c r="E531" s="75"/>
      <c r="F531" s="75"/>
      <c r="G531" s="75"/>
      <c r="H531" s="75"/>
      <c r="I531" s="75"/>
      <c r="J531" s="75"/>
      <c r="K531" s="75"/>
      <c r="L531" s="75"/>
      <c r="M531" s="75"/>
      <c r="N531" s="75"/>
      <c r="O531" s="75"/>
      <c r="P531" s="75"/>
      <c r="Q531" s="75"/>
      <c r="R531" s="75"/>
      <c r="S531" s="75"/>
      <c r="T531" s="75"/>
      <c r="U531" s="75"/>
      <c r="V531" s="77"/>
      <c r="W531" s="75"/>
      <c r="X531" s="75"/>
      <c r="Y531" s="75"/>
      <c r="Z531" s="78"/>
      <c r="AA531" s="78"/>
      <c r="AB531" s="75"/>
      <c r="AJ531" s="72"/>
    </row>
    <row r="532" spans="1:36" s="69" customFormat="1" x14ac:dyDescent="0.25">
      <c r="A532" s="75"/>
      <c r="B532" s="75"/>
      <c r="C532" s="76"/>
      <c r="D532" s="76"/>
      <c r="E532" s="75"/>
      <c r="F532" s="75"/>
      <c r="G532" s="75"/>
      <c r="H532" s="75"/>
      <c r="I532" s="75"/>
      <c r="J532" s="75"/>
      <c r="K532" s="75"/>
      <c r="L532" s="75"/>
      <c r="M532" s="75"/>
      <c r="N532" s="75"/>
      <c r="O532" s="75"/>
      <c r="P532" s="75"/>
      <c r="Q532" s="75"/>
      <c r="R532" s="75"/>
      <c r="S532" s="75"/>
      <c r="T532" s="75"/>
      <c r="U532" s="75"/>
      <c r="V532" s="77"/>
      <c r="W532" s="75"/>
      <c r="X532" s="75"/>
      <c r="Y532" s="75"/>
      <c r="Z532" s="78"/>
      <c r="AA532" s="78"/>
      <c r="AB532" s="75"/>
      <c r="AJ532" s="72"/>
    </row>
    <row r="533" spans="1:36" s="69" customFormat="1" x14ac:dyDescent="0.25">
      <c r="A533" s="75"/>
      <c r="B533" s="75"/>
      <c r="C533" s="76"/>
      <c r="D533" s="76"/>
      <c r="E533" s="75"/>
      <c r="F533" s="75"/>
      <c r="G533" s="75"/>
      <c r="H533" s="75"/>
      <c r="I533" s="75"/>
      <c r="J533" s="75"/>
      <c r="K533" s="75"/>
      <c r="L533" s="75"/>
      <c r="M533" s="75"/>
      <c r="N533" s="75"/>
      <c r="O533" s="75"/>
      <c r="P533" s="75"/>
      <c r="Q533" s="75"/>
      <c r="R533" s="75"/>
      <c r="S533" s="75"/>
      <c r="T533" s="75"/>
      <c r="U533" s="75"/>
      <c r="V533" s="77"/>
      <c r="W533" s="75"/>
      <c r="X533" s="75"/>
      <c r="Y533" s="75"/>
      <c r="Z533" s="78"/>
      <c r="AA533" s="78"/>
      <c r="AB533" s="75"/>
      <c r="AJ533" s="72"/>
    </row>
    <row r="534" spans="1:36" s="69" customFormat="1" x14ac:dyDescent="0.25">
      <c r="A534" s="75"/>
      <c r="B534" s="75"/>
      <c r="C534" s="76"/>
      <c r="D534" s="76"/>
      <c r="E534" s="75"/>
      <c r="F534" s="75"/>
      <c r="G534" s="75"/>
      <c r="H534" s="75"/>
      <c r="I534" s="75"/>
      <c r="J534" s="75"/>
      <c r="K534" s="75"/>
      <c r="L534" s="75"/>
      <c r="M534" s="75"/>
      <c r="N534" s="75"/>
      <c r="O534" s="75"/>
      <c r="P534" s="75"/>
      <c r="Q534" s="75"/>
      <c r="R534" s="75"/>
      <c r="S534" s="75"/>
      <c r="T534" s="75"/>
      <c r="U534" s="75"/>
      <c r="V534" s="77"/>
      <c r="W534" s="75"/>
      <c r="X534" s="75"/>
      <c r="Y534" s="75"/>
      <c r="Z534" s="78"/>
      <c r="AA534" s="78"/>
      <c r="AB534" s="75"/>
      <c r="AJ534" s="72"/>
    </row>
    <row r="535" spans="1:36" s="69" customFormat="1" x14ac:dyDescent="0.25">
      <c r="A535" s="75"/>
      <c r="B535" s="75"/>
      <c r="C535" s="76"/>
      <c r="D535" s="76"/>
      <c r="E535" s="75"/>
      <c r="F535" s="75"/>
      <c r="G535" s="75"/>
      <c r="H535" s="75"/>
      <c r="I535" s="75"/>
      <c r="J535" s="75"/>
      <c r="K535" s="75"/>
      <c r="L535" s="75"/>
      <c r="M535" s="75"/>
      <c r="N535" s="75"/>
      <c r="O535" s="75"/>
      <c r="P535" s="75"/>
      <c r="Q535" s="75"/>
      <c r="R535" s="75"/>
      <c r="S535" s="75"/>
      <c r="T535" s="75"/>
      <c r="U535" s="75"/>
      <c r="V535" s="77"/>
      <c r="W535" s="75"/>
      <c r="X535" s="75"/>
      <c r="Y535" s="75"/>
      <c r="Z535" s="78"/>
      <c r="AA535" s="78"/>
      <c r="AB535" s="75"/>
      <c r="AJ535" s="72"/>
    </row>
    <row r="536" spans="1:36" s="69" customFormat="1" x14ac:dyDescent="0.25">
      <c r="A536" s="75"/>
      <c r="B536" s="75"/>
      <c r="C536" s="76"/>
      <c r="D536" s="76"/>
      <c r="E536" s="75"/>
      <c r="F536" s="75"/>
      <c r="G536" s="75"/>
      <c r="H536" s="75"/>
      <c r="I536" s="75"/>
      <c r="J536" s="75"/>
      <c r="K536" s="75"/>
      <c r="L536" s="75"/>
      <c r="M536" s="75"/>
      <c r="N536" s="75"/>
      <c r="O536" s="75"/>
      <c r="P536" s="75"/>
      <c r="Q536" s="75"/>
      <c r="R536" s="75"/>
      <c r="S536" s="75"/>
      <c r="T536" s="75"/>
      <c r="U536" s="75"/>
      <c r="V536" s="77"/>
      <c r="W536" s="75"/>
      <c r="X536" s="75"/>
      <c r="Y536" s="75"/>
      <c r="Z536" s="78"/>
      <c r="AA536" s="78"/>
      <c r="AB536" s="75"/>
      <c r="AJ536" s="72"/>
    </row>
    <row r="537" spans="1:36" s="69" customFormat="1" x14ac:dyDescent="0.25">
      <c r="A537" s="75"/>
      <c r="B537" s="75"/>
      <c r="C537" s="76"/>
      <c r="D537" s="76"/>
      <c r="E537" s="75"/>
      <c r="F537" s="75"/>
      <c r="G537" s="75"/>
      <c r="H537" s="75"/>
      <c r="I537" s="75"/>
      <c r="J537" s="75"/>
      <c r="K537" s="75"/>
      <c r="L537" s="75"/>
      <c r="M537" s="75"/>
      <c r="N537" s="75"/>
      <c r="O537" s="75"/>
      <c r="P537" s="75"/>
      <c r="Q537" s="75"/>
      <c r="R537" s="75"/>
      <c r="S537" s="75"/>
      <c r="T537" s="75"/>
      <c r="U537" s="75"/>
      <c r="V537" s="77"/>
      <c r="W537" s="75"/>
      <c r="X537" s="75"/>
      <c r="Y537" s="75"/>
      <c r="Z537" s="78"/>
      <c r="AA537" s="78"/>
      <c r="AB537" s="75"/>
      <c r="AJ537" s="72"/>
    </row>
    <row r="538" spans="1:36" s="69" customFormat="1" x14ac:dyDescent="0.25">
      <c r="A538" s="75"/>
      <c r="B538" s="75"/>
      <c r="C538" s="76"/>
      <c r="D538" s="76"/>
      <c r="E538" s="75"/>
      <c r="F538" s="75"/>
      <c r="G538" s="75"/>
      <c r="H538" s="75"/>
      <c r="I538" s="75"/>
      <c r="J538" s="75"/>
      <c r="K538" s="75"/>
      <c r="L538" s="75"/>
      <c r="M538" s="75"/>
      <c r="N538" s="75"/>
      <c r="O538" s="75"/>
      <c r="P538" s="75"/>
      <c r="Q538" s="75"/>
      <c r="R538" s="75"/>
      <c r="S538" s="75"/>
      <c r="T538" s="75"/>
      <c r="U538" s="75"/>
      <c r="V538" s="77"/>
      <c r="W538" s="75"/>
      <c r="X538" s="75"/>
      <c r="Y538" s="75"/>
      <c r="Z538" s="78"/>
      <c r="AA538" s="78"/>
      <c r="AB538" s="75"/>
      <c r="AJ538" s="72"/>
    </row>
    <row r="539" spans="1:36" s="69" customFormat="1" x14ac:dyDescent="0.25">
      <c r="A539" s="75"/>
      <c r="B539" s="75"/>
      <c r="C539" s="76"/>
      <c r="D539" s="76"/>
      <c r="E539" s="75"/>
      <c r="F539" s="75"/>
      <c r="G539" s="75"/>
      <c r="H539" s="75"/>
      <c r="I539" s="75"/>
      <c r="J539" s="75"/>
      <c r="K539" s="75"/>
      <c r="L539" s="75"/>
      <c r="M539" s="75"/>
      <c r="N539" s="75"/>
      <c r="O539" s="75"/>
      <c r="P539" s="75"/>
      <c r="Q539" s="75"/>
      <c r="R539" s="75"/>
      <c r="S539" s="75"/>
      <c r="T539" s="75"/>
      <c r="U539" s="75"/>
      <c r="V539" s="77"/>
      <c r="W539" s="75"/>
      <c r="X539" s="75"/>
      <c r="Y539" s="75"/>
      <c r="Z539" s="78"/>
      <c r="AA539" s="78"/>
      <c r="AB539" s="75"/>
      <c r="AJ539" s="72"/>
    </row>
    <row r="540" spans="1:36" s="69" customFormat="1" x14ac:dyDescent="0.25">
      <c r="A540" s="75"/>
      <c r="B540" s="75"/>
      <c r="C540" s="76"/>
      <c r="D540" s="76"/>
      <c r="E540" s="75"/>
      <c r="F540" s="75"/>
      <c r="G540" s="75"/>
      <c r="H540" s="75"/>
      <c r="I540" s="75"/>
      <c r="J540" s="75"/>
      <c r="K540" s="75"/>
      <c r="L540" s="75"/>
      <c r="M540" s="75"/>
      <c r="N540" s="75"/>
      <c r="O540" s="75"/>
      <c r="P540" s="75"/>
      <c r="Q540" s="75"/>
      <c r="R540" s="75"/>
      <c r="S540" s="75"/>
      <c r="T540" s="75"/>
      <c r="U540" s="75"/>
      <c r="V540" s="77"/>
      <c r="W540" s="75"/>
      <c r="X540" s="75"/>
      <c r="Y540" s="75"/>
      <c r="Z540" s="78"/>
      <c r="AA540" s="78"/>
      <c r="AB540" s="75"/>
      <c r="AJ540" s="72"/>
    </row>
    <row r="541" spans="1:36" s="69" customFormat="1" x14ac:dyDescent="0.25">
      <c r="A541" s="75"/>
      <c r="B541" s="75"/>
      <c r="C541" s="76"/>
      <c r="D541" s="76"/>
      <c r="E541" s="75"/>
      <c r="F541" s="75"/>
      <c r="G541" s="75"/>
      <c r="H541" s="75"/>
      <c r="I541" s="75"/>
      <c r="J541" s="75"/>
      <c r="K541" s="75"/>
      <c r="L541" s="75"/>
      <c r="M541" s="75"/>
      <c r="N541" s="75"/>
      <c r="O541" s="75"/>
      <c r="P541" s="75"/>
      <c r="Q541" s="75"/>
      <c r="R541" s="75"/>
      <c r="S541" s="75"/>
      <c r="T541" s="75"/>
      <c r="U541" s="75"/>
      <c r="V541" s="77"/>
      <c r="W541" s="75"/>
      <c r="X541" s="75"/>
      <c r="Y541" s="75"/>
      <c r="Z541" s="78"/>
      <c r="AA541" s="78"/>
      <c r="AB541" s="75"/>
      <c r="AJ541" s="72"/>
    </row>
    <row r="542" spans="1:36" s="69" customFormat="1" x14ac:dyDescent="0.25">
      <c r="A542" s="75"/>
      <c r="B542" s="75"/>
      <c r="C542" s="76"/>
      <c r="D542" s="76"/>
      <c r="E542" s="75"/>
      <c r="F542" s="75"/>
      <c r="G542" s="75"/>
      <c r="H542" s="75"/>
      <c r="I542" s="75"/>
      <c r="J542" s="75"/>
      <c r="K542" s="75"/>
      <c r="L542" s="75"/>
      <c r="M542" s="75"/>
      <c r="N542" s="75"/>
      <c r="O542" s="75"/>
      <c r="P542" s="75"/>
      <c r="Q542" s="75"/>
      <c r="R542" s="75"/>
      <c r="S542" s="75"/>
      <c r="T542" s="75"/>
      <c r="U542" s="75"/>
      <c r="V542" s="77"/>
      <c r="W542" s="75"/>
      <c r="X542" s="75"/>
      <c r="Y542" s="75"/>
      <c r="Z542" s="78"/>
      <c r="AA542" s="78"/>
      <c r="AB542" s="75"/>
      <c r="AJ542" s="72"/>
    </row>
    <row r="543" spans="1:36" s="69" customFormat="1" x14ac:dyDescent="0.25">
      <c r="A543" s="75"/>
      <c r="B543" s="75"/>
      <c r="C543" s="76"/>
      <c r="D543" s="76"/>
      <c r="E543" s="75"/>
      <c r="F543" s="75"/>
      <c r="G543" s="75"/>
      <c r="H543" s="75"/>
      <c r="I543" s="75"/>
      <c r="J543" s="75"/>
      <c r="K543" s="75"/>
      <c r="L543" s="75"/>
      <c r="M543" s="75"/>
      <c r="N543" s="75"/>
      <c r="O543" s="75"/>
      <c r="P543" s="75"/>
      <c r="Q543" s="75"/>
      <c r="R543" s="75"/>
      <c r="S543" s="75"/>
      <c r="T543" s="75"/>
      <c r="U543" s="75"/>
      <c r="V543" s="77"/>
      <c r="W543" s="75"/>
      <c r="X543" s="75"/>
      <c r="Y543" s="75"/>
      <c r="Z543" s="78"/>
      <c r="AA543" s="78"/>
      <c r="AB543" s="75"/>
      <c r="AJ543" s="72"/>
    </row>
    <row r="544" spans="1:36" s="69" customFormat="1" x14ac:dyDescent="0.25">
      <c r="A544" s="75"/>
      <c r="B544" s="75"/>
      <c r="C544" s="76"/>
      <c r="D544" s="76"/>
      <c r="E544" s="75"/>
      <c r="F544" s="75"/>
      <c r="G544" s="75"/>
      <c r="H544" s="75"/>
      <c r="I544" s="75"/>
      <c r="J544" s="75"/>
      <c r="K544" s="75"/>
      <c r="L544" s="75"/>
      <c r="M544" s="75"/>
      <c r="N544" s="75"/>
      <c r="O544" s="75"/>
      <c r="P544" s="75"/>
      <c r="Q544" s="75"/>
      <c r="R544" s="75"/>
      <c r="S544" s="75"/>
      <c r="T544" s="75"/>
      <c r="U544" s="75"/>
      <c r="V544" s="77"/>
      <c r="W544" s="75"/>
      <c r="X544" s="75"/>
      <c r="Y544" s="75"/>
      <c r="Z544" s="78"/>
      <c r="AA544" s="78"/>
      <c r="AB544" s="75"/>
      <c r="AJ544" s="72"/>
    </row>
    <row r="545" spans="1:36" s="69" customFormat="1" x14ac:dyDescent="0.25">
      <c r="A545" s="75"/>
      <c r="B545" s="75"/>
      <c r="C545" s="76"/>
      <c r="D545" s="76"/>
      <c r="E545" s="75"/>
      <c r="F545" s="75"/>
      <c r="G545" s="75"/>
      <c r="H545" s="75"/>
      <c r="I545" s="75"/>
      <c r="J545" s="75"/>
      <c r="K545" s="75"/>
      <c r="L545" s="75"/>
      <c r="M545" s="75"/>
      <c r="N545" s="75"/>
      <c r="O545" s="75"/>
      <c r="P545" s="75"/>
      <c r="Q545" s="75"/>
      <c r="R545" s="75"/>
      <c r="S545" s="75"/>
      <c r="T545" s="75"/>
      <c r="U545" s="75"/>
      <c r="V545" s="77"/>
      <c r="W545" s="75"/>
      <c r="X545" s="75"/>
      <c r="Y545" s="75"/>
      <c r="Z545" s="78"/>
      <c r="AA545" s="78"/>
      <c r="AB545" s="75"/>
      <c r="AJ545" s="72"/>
    </row>
    <row r="546" spans="1:36" s="69" customFormat="1" x14ac:dyDescent="0.25">
      <c r="A546" s="75"/>
      <c r="B546" s="75"/>
      <c r="C546" s="76"/>
      <c r="D546" s="76"/>
      <c r="E546" s="75"/>
      <c r="F546" s="75"/>
      <c r="G546" s="75"/>
      <c r="H546" s="75"/>
      <c r="I546" s="75"/>
      <c r="J546" s="75"/>
      <c r="K546" s="75"/>
      <c r="L546" s="75"/>
      <c r="M546" s="75"/>
      <c r="N546" s="75"/>
      <c r="O546" s="75"/>
      <c r="P546" s="75"/>
      <c r="Q546" s="75"/>
      <c r="R546" s="75"/>
      <c r="S546" s="75"/>
      <c r="T546" s="75"/>
      <c r="U546" s="75"/>
      <c r="V546" s="77"/>
      <c r="W546" s="75"/>
      <c r="X546" s="75"/>
      <c r="Y546" s="75"/>
      <c r="Z546" s="78"/>
      <c r="AA546" s="78"/>
      <c r="AB546" s="75"/>
      <c r="AJ546" s="72"/>
    </row>
    <row r="547" spans="1:36" s="69" customFormat="1" x14ac:dyDescent="0.25">
      <c r="A547" s="75"/>
      <c r="B547" s="75"/>
      <c r="C547" s="76"/>
      <c r="D547" s="76"/>
      <c r="E547" s="75"/>
      <c r="F547" s="75"/>
      <c r="G547" s="75"/>
      <c r="H547" s="75"/>
      <c r="I547" s="75"/>
      <c r="J547" s="75"/>
      <c r="K547" s="75"/>
      <c r="L547" s="75"/>
      <c r="M547" s="75"/>
      <c r="N547" s="75"/>
      <c r="O547" s="75"/>
      <c r="P547" s="75"/>
      <c r="Q547" s="75"/>
      <c r="R547" s="75"/>
      <c r="S547" s="75"/>
      <c r="T547" s="75"/>
      <c r="U547" s="75"/>
      <c r="V547" s="77"/>
      <c r="W547" s="75"/>
      <c r="X547" s="75"/>
      <c r="Y547" s="75"/>
      <c r="Z547" s="78"/>
      <c r="AA547" s="78"/>
      <c r="AB547" s="75"/>
      <c r="AJ547" s="72"/>
    </row>
    <row r="548" spans="1:36" s="69" customFormat="1" x14ac:dyDescent="0.25">
      <c r="A548" s="75"/>
      <c r="B548" s="75"/>
      <c r="C548" s="76"/>
      <c r="D548" s="76"/>
      <c r="E548" s="75"/>
      <c r="F548" s="75"/>
      <c r="G548" s="75"/>
      <c r="H548" s="75"/>
      <c r="I548" s="75"/>
      <c r="J548" s="75"/>
      <c r="K548" s="75"/>
      <c r="L548" s="75"/>
      <c r="M548" s="75"/>
      <c r="N548" s="75"/>
      <c r="O548" s="75"/>
      <c r="P548" s="75"/>
      <c r="Q548" s="75"/>
      <c r="R548" s="75"/>
      <c r="S548" s="75"/>
      <c r="T548" s="75"/>
      <c r="U548" s="75"/>
      <c r="V548" s="77"/>
      <c r="W548" s="75"/>
      <c r="X548" s="75"/>
      <c r="Y548" s="75"/>
      <c r="Z548" s="78"/>
      <c r="AA548" s="78"/>
      <c r="AB548" s="75"/>
      <c r="AJ548" s="72"/>
    </row>
    <row r="549" spans="1:36" s="69" customFormat="1" x14ac:dyDescent="0.25">
      <c r="A549" s="75"/>
      <c r="B549" s="75"/>
      <c r="C549" s="76"/>
      <c r="D549" s="76"/>
      <c r="E549" s="75"/>
      <c r="F549" s="75"/>
      <c r="G549" s="75"/>
      <c r="H549" s="75"/>
      <c r="I549" s="75"/>
      <c r="J549" s="75"/>
      <c r="K549" s="75"/>
      <c r="L549" s="75"/>
      <c r="M549" s="75"/>
      <c r="N549" s="75"/>
      <c r="O549" s="75"/>
      <c r="P549" s="75"/>
      <c r="Q549" s="75"/>
      <c r="R549" s="75"/>
      <c r="S549" s="75"/>
      <c r="T549" s="75"/>
      <c r="U549" s="75"/>
      <c r="V549" s="77"/>
      <c r="W549" s="75"/>
      <c r="X549" s="75"/>
      <c r="Y549" s="75"/>
      <c r="Z549" s="78"/>
      <c r="AA549" s="78"/>
      <c r="AB549" s="75"/>
      <c r="AJ549" s="72"/>
    </row>
    <row r="550" spans="1:36" s="69" customFormat="1" x14ac:dyDescent="0.25">
      <c r="A550" s="75"/>
      <c r="B550" s="75"/>
      <c r="C550" s="76"/>
      <c r="D550" s="76"/>
      <c r="E550" s="75"/>
      <c r="F550" s="75"/>
      <c r="G550" s="75"/>
      <c r="H550" s="75"/>
      <c r="I550" s="75"/>
      <c r="J550" s="75"/>
      <c r="K550" s="75"/>
      <c r="L550" s="75"/>
      <c r="M550" s="75"/>
      <c r="N550" s="75"/>
      <c r="O550" s="75"/>
      <c r="P550" s="75"/>
      <c r="Q550" s="75"/>
      <c r="R550" s="75"/>
      <c r="S550" s="75"/>
      <c r="T550" s="75"/>
      <c r="U550" s="75"/>
      <c r="V550" s="77"/>
      <c r="W550" s="75"/>
      <c r="X550" s="75"/>
      <c r="Y550" s="75"/>
      <c r="Z550" s="78"/>
      <c r="AA550" s="78"/>
      <c r="AB550" s="75"/>
      <c r="AJ550" s="72"/>
    </row>
    <row r="551" spans="1:36" s="69" customFormat="1" x14ac:dyDescent="0.25">
      <c r="A551" s="75"/>
      <c r="B551" s="75"/>
      <c r="C551" s="76"/>
      <c r="D551" s="76"/>
      <c r="E551" s="75"/>
      <c r="F551" s="75"/>
      <c r="G551" s="75"/>
      <c r="H551" s="75"/>
      <c r="I551" s="75"/>
      <c r="J551" s="75"/>
      <c r="K551" s="75"/>
      <c r="L551" s="75"/>
      <c r="M551" s="75"/>
      <c r="N551" s="75"/>
      <c r="O551" s="75"/>
      <c r="P551" s="75"/>
      <c r="Q551" s="75"/>
      <c r="R551" s="75"/>
      <c r="S551" s="75"/>
      <c r="T551" s="75"/>
      <c r="U551" s="75"/>
      <c r="V551" s="77"/>
      <c r="W551" s="75"/>
      <c r="X551" s="75"/>
      <c r="Y551" s="75"/>
      <c r="Z551" s="78"/>
      <c r="AA551" s="78"/>
      <c r="AB551" s="75"/>
      <c r="AJ551" s="72"/>
    </row>
    <row r="552" spans="1:36" s="69" customFormat="1" x14ac:dyDescent="0.25">
      <c r="A552" s="75"/>
      <c r="B552" s="75"/>
      <c r="C552" s="76"/>
      <c r="D552" s="76"/>
      <c r="E552" s="75"/>
      <c r="F552" s="75"/>
      <c r="G552" s="75"/>
      <c r="H552" s="75"/>
      <c r="I552" s="75"/>
      <c r="J552" s="75"/>
      <c r="K552" s="75"/>
      <c r="L552" s="75"/>
      <c r="M552" s="75"/>
      <c r="N552" s="75"/>
      <c r="O552" s="75"/>
      <c r="P552" s="75"/>
      <c r="Q552" s="75"/>
      <c r="R552" s="75"/>
      <c r="S552" s="75"/>
      <c r="T552" s="75"/>
      <c r="U552" s="75"/>
      <c r="V552" s="77"/>
      <c r="W552" s="75"/>
      <c r="X552" s="75"/>
      <c r="Y552" s="75"/>
      <c r="Z552" s="78"/>
      <c r="AA552" s="78"/>
      <c r="AB552" s="75"/>
      <c r="AJ552" s="72"/>
    </row>
    <row r="553" spans="1:36" s="69" customFormat="1" x14ac:dyDescent="0.25">
      <c r="A553" s="75"/>
      <c r="B553" s="75"/>
      <c r="C553" s="76"/>
      <c r="D553" s="76"/>
      <c r="E553" s="75"/>
      <c r="F553" s="75"/>
      <c r="G553" s="75"/>
      <c r="H553" s="75"/>
      <c r="I553" s="75"/>
      <c r="J553" s="75"/>
      <c r="K553" s="75"/>
      <c r="L553" s="75"/>
      <c r="M553" s="75"/>
      <c r="N553" s="75"/>
      <c r="O553" s="75"/>
      <c r="P553" s="75"/>
      <c r="Q553" s="75"/>
      <c r="R553" s="75"/>
      <c r="S553" s="75"/>
      <c r="T553" s="75"/>
      <c r="U553" s="75"/>
      <c r="V553" s="77"/>
      <c r="W553" s="75"/>
      <c r="X553" s="75"/>
      <c r="Y553" s="75"/>
      <c r="Z553" s="78"/>
      <c r="AA553" s="78"/>
      <c r="AB553" s="75"/>
      <c r="AJ553" s="72"/>
    </row>
    <row r="554" spans="1:36" s="69" customFormat="1" x14ac:dyDescent="0.25">
      <c r="A554" s="75"/>
      <c r="B554" s="75"/>
      <c r="C554" s="76"/>
      <c r="D554" s="76"/>
      <c r="E554" s="75"/>
      <c r="F554" s="75"/>
      <c r="G554" s="75"/>
      <c r="H554" s="75"/>
      <c r="I554" s="75"/>
      <c r="J554" s="75"/>
      <c r="K554" s="75"/>
      <c r="L554" s="75"/>
      <c r="M554" s="75"/>
      <c r="N554" s="75"/>
      <c r="O554" s="75"/>
      <c r="P554" s="75"/>
      <c r="Q554" s="75"/>
      <c r="R554" s="75"/>
      <c r="S554" s="75"/>
      <c r="T554" s="75"/>
      <c r="U554" s="75"/>
      <c r="V554" s="77"/>
      <c r="W554" s="75"/>
      <c r="X554" s="75"/>
      <c r="Y554" s="75"/>
      <c r="Z554" s="78"/>
      <c r="AA554" s="78"/>
      <c r="AB554" s="75"/>
      <c r="AJ554" s="72"/>
    </row>
    <row r="555" spans="1:36" s="69" customFormat="1" x14ac:dyDescent="0.25">
      <c r="A555" s="75"/>
      <c r="B555" s="75"/>
      <c r="C555" s="76"/>
      <c r="D555" s="76"/>
      <c r="E555" s="75"/>
      <c r="F555" s="75"/>
      <c r="G555" s="75"/>
      <c r="H555" s="75"/>
      <c r="I555" s="75"/>
      <c r="J555" s="75"/>
      <c r="K555" s="75"/>
      <c r="L555" s="75"/>
      <c r="M555" s="75"/>
      <c r="N555" s="75"/>
      <c r="O555" s="75"/>
      <c r="P555" s="75"/>
      <c r="Q555" s="75"/>
      <c r="R555" s="75"/>
      <c r="S555" s="75"/>
      <c r="T555" s="75"/>
      <c r="U555" s="75"/>
      <c r="V555" s="77"/>
      <c r="W555" s="75"/>
      <c r="X555" s="75"/>
      <c r="Y555" s="75"/>
      <c r="Z555" s="78"/>
      <c r="AA555" s="78"/>
      <c r="AB555" s="75"/>
      <c r="AJ555" s="72"/>
    </row>
    <row r="556" spans="1:36" s="69" customFormat="1" x14ac:dyDescent="0.25">
      <c r="A556" s="75"/>
      <c r="B556" s="75"/>
      <c r="C556" s="76"/>
      <c r="D556" s="76"/>
      <c r="E556" s="75"/>
      <c r="F556" s="75"/>
      <c r="G556" s="75"/>
      <c r="H556" s="75"/>
      <c r="I556" s="75"/>
      <c r="J556" s="75"/>
      <c r="K556" s="75"/>
      <c r="L556" s="75"/>
      <c r="M556" s="75"/>
      <c r="N556" s="75"/>
      <c r="O556" s="75"/>
      <c r="P556" s="75"/>
      <c r="Q556" s="75"/>
      <c r="R556" s="75"/>
      <c r="S556" s="75"/>
      <c r="T556" s="75"/>
      <c r="U556" s="75"/>
      <c r="V556" s="77"/>
      <c r="W556" s="75"/>
      <c r="X556" s="75"/>
      <c r="Y556" s="75"/>
      <c r="Z556" s="78"/>
      <c r="AA556" s="78"/>
      <c r="AB556" s="75"/>
      <c r="AJ556" s="72"/>
    </row>
    <row r="557" spans="1:36" s="69" customFormat="1" x14ac:dyDescent="0.25">
      <c r="A557" s="75"/>
      <c r="B557" s="75"/>
      <c r="C557" s="76"/>
      <c r="D557" s="76"/>
      <c r="E557" s="75"/>
      <c r="F557" s="75"/>
      <c r="G557" s="75"/>
      <c r="H557" s="75"/>
      <c r="I557" s="75"/>
      <c r="J557" s="75"/>
      <c r="K557" s="75"/>
      <c r="L557" s="75"/>
      <c r="M557" s="75"/>
      <c r="N557" s="75"/>
      <c r="O557" s="75"/>
      <c r="P557" s="75"/>
      <c r="Q557" s="75"/>
      <c r="R557" s="75"/>
      <c r="S557" s="75"/>
      <c r="T557" s="75"/>
      <c r="U557" s="75"/>
      <c r="V557" s="77"/>
      <c r="W557" s="75"/>
      <c r="X557" s="75"/>
      <c r="Y557" s="75"/>
      <c r="Z557" s="78"/>
      <c r="AA557" s="78"/>
      <c r="AB557" s="75"/>
      <c r="AJ557" s="72"/>
    </row>
    <row r="558" spans="1:36" s="69" customFormat="1" x14ac:dyDescent="0.25">
      <c r="A558" s="75"/>
      <c r="B558" s="75"/>
      <c r="C558" s="76"/>
      <c r="D558" s="76"/>
      <c r="E558" s="75"/>
      <c r="F558" s="75"/>
      <c r="G558" s="75"/>
      <c r="H558" s="75"/>
      <c r="I558" s="75"/>
      <c r="J558" s="75"/>
      <c r="K558" s="75"/>
      <c r="L558" s="75"/>
      <c r="M558" s="75"/>
      <c r="N558" s="75"/>
      <c r="O558" s="75"/>
      <c r="P558" s="75"/>
      <c r="Q558" s="75"/>
      <c r="R558" s="75"/>
      <c r="S558" s="75"/>
      <c r="T558" s="75"/>
      <c r="U558" s="75"/>
      <c r="V558" s="77"/>
      <c r="W558" s="75"/>
      <c r="X558" s="75"/>
      <c r="Y558" s="75"/>
      <c r="Z558" s="78"/>
      <c r="AA558" s="78"/>
      <c r="AB558" s="75"/>
      <c r="AJ558" s="72"/>
    </row>
    <row r="559" spans="1:36" s="69" customFormat="1" x14ac:dyDescent="0.25">
      <c r="A559" s="75"/>
      <c r="B559" s="75"/>
      <c r="C559" s="76"/>
      <c r="D559" s="76"/>
      <c r="E559" s="75"/>
      <c r="F559" s="75"/>
      <c r="G559" s="75"/>
      <c r="H559" s="75"/>
      <c r="I559" s="75"/>
      <c r="J559" s="75"/>
      <c r="K559" s="75"/>
      <c r="L559" s="75"/>
      <c r="M559" s="75"/>
      <c r="N559" s="75"/>
      <c r="O559" s="75"/>
      <c r="P559" s="75"/>
      <c r="Q559" s="75"/>
      <c r="R559" s="75"/>
      <c r="S559" s="75"/>
      <c r="T559" s="75"/>
      <c r="U559" s="75"/>
      <c r="V559" s="77"/>
      <c r="W559" s="75"/>
      <c r="X559" s="75"/>
      <c r="Y559" s="75"/>
      <c r="Z559" s="78"/>
      <c r="AA559" s="78"/>
      <c r="AB559" s="75"/>
      <c r="AJ559" s="72"/>
    </row>
    <row r="560" spans="1:36" s="69" customFormat="1" x14ac:dyDescent="0.25">
      <c r="A560" s="75"/>
      <c r="B560" s="75"/>
      <c r="C560" s="76"/>
      <c r="D560" s="76"/>
      <c r="E560" s="75"/>
      <c r="F560" s="75"/>
      <c r="G560" s="75"/>
      <c r="H560" s="75"/>
      <c r="I560" s="75"/>
      <c r="J560" s="75"/>
      <c r="K560" s="75"/>
      <c r="L560" s="75"/>
      <c r="M560" s="75"/>
      <c r="N560" s="75"/>
      <c r="O560" s="75"/>
      <c r="P560" s="75"/>
      <c r="Q560" s="75"/>
      <c r="R560" s="75"/>
      <c r="S560" s="75"/>
      <c r="T560" s="75"/>
      <c r="U560" s="75"/>
      <c r="V560" s="77"/>
      <c r="W560" s="75"/>
      <c r="X560" s="75"/>
      <c r="Y560" s="75"/>
      <c r="Z560" s="78"/>
      <c r="AA560" s="78"/>
      <c r="AB560" s="75"/>
      <c r="AJ560" s="72"/>
    </row>
    <row r="561" spans="1:36" s="69" customFormat="1" x14ac:dyDescent="0.25">
      <c r="A561" s="75"/>
      <c r="B561" s="75"/>
      <c r="C561" s="76"/>
      <c r="D561" s="76"/>
      <c r="E561" s="75"/>
      <c r="F561" s="75"/>
      <c r="G561" s="75"/>
      <c r="H561" s="75"/>
      <c r="I561" s="75"/>
      <c r="J561" s="75"/>
      <c r="K561" s="75"/>
      <c r="L561" s="75"/>
      <c r="M561" s="75"/>
      <c r="N561" s="75"/>
      <c r="O561" s="75"/>
      <c r="P561" s="75"/>
      <c r="Q561" s="75"/>
      <c r="R561" s="75"/>
      <c r="S561" s="75"/>
      <c r="T561" s="75"/>
      <c r="U561" s="75"/>
      <c r="V561" s="77"/>
      <c r="W561" s="75"/>
      <c r="X561" s="75"/>
      <c r="Y561" s="75"/>
      <c r="Z561" s="78"/>
      <c r="AA561" s="78"/>
      <c r="AB561" s="75"/>
      <c r="AJ561" s="72"/>
    </row>
    <row r="562" spans="1:36" s="69" customFormat="1" x14ac:dyDescent="0.25">
      <c r="A562" s="75"/>
      <c r="B562" s="75"/>
      <c r="C562" s="76"/>
      <c r="D562" s="76"/>
      <c r="E562" s="75"/>
      <c r="F562" s="75"/>
      <c r="G562" s="75"/>
      <c r="H562" s="75"/>
      <c r="I562" s="75"/>
      <c r="J562" s="75"/>
      <c r="K562" s="75"/>
      <c r="L562" s="75"/>
      <c r="M562" s="75"/>
      <c r="N562" s="75"/>
      <c r="O562" s="75"/>
      <c r="P562" s="75"/>
      <c r="Q562" s="75"/>
      <c r="R562" s="75"/>
      <c r="S562" s="75"/>
      <c r="T562" s="75"/>
      <c r="U562" s="75"/>
      <c r="V562" s="77"/>
      <c r="W562" s="75"/>
      <c r="X562" s="75"/>
      <c r="Y562" s="75"/>
      <c r="Z562" s="78"/>
      <c r="AA562" s="78"/>
      <c r="AB562" s="75"/>
      <c r="AJ562" s="72"/>
    </row>
    <row r="563" spans="1:36" s="69" customFormat="1" x14ac:dyDescent="0.25">
      <c r="A563" s="75"/>
      <c r="B563" s="75"/>
      <c r="C563" s="76"/>
      <c r="D563" s="76"/>
      <c r="E563" s="75"/>
      <c r="F563" s="75"/>
      <c r="G563" s="75"/>
      <c r="H563" s="75"/>
      <c r="I563" s="75"/>
      <c r="J563" s="75"/>
      <c r="K563" s="75"/>
      <c r="L563" s="75"/>
      <c r="M563" s="75"/>
      <c r="N563" s="75"/>
      <c r="O563" s="75"/>
      <c r="P563" s="75"/>
      <c r="Q563" s="75"/>
      <c r="R563" s="75"/>
      <c r="S563" s="75"/>
      <c r="T563" s="75"/>
      <c r="U563" s="75"/>
      <c r="V563" s="77"/>
      <c r="W563" s="75"/>
      <c r="X563" s="75"/>
      <c r="Y563" s="75"/>
      <c r="Z563" s="78"/>
      <c r="AA563" s="78"/>
      <c r="AB563" s="75"/>
      <c r="AJ563" s="72"/>
    </row>
    <row r="564" spans="1:36" s="69" customFormat="1" x14ac:dyDescent="0.25">
      <c r="A564" s="75"/>
      <c r="B564" s="75"/>
      <c r="C564" s="76"/>
      <c r="D564" s="76"/>
      <c r="E564" s="75"/>
      <c r="F564" s="75"/>
      <c r="G564" s="75"/>
      <c r="H564" s="75"/>
      <c r="I564" s="75"/>
      <c r="J564" s="75"/>
      <c r="K564" s="75"/>
      <c r="L564" s="75"/>
      <c r="M564" s="75"/>
      <c r="N564" s="75"/>
      <c r="O564" s="75"/>
      <c r="P564" s="75"/>
      <c r="Q564" s="75"/>
      <c r="R564" s="75"/>
      <c r="S564" s="75"/>
      <c r="T564" s="75"/>
      <c r="U564" s="75"/>
      <c r="V564" s="77"/>
      <c r="W564" s="75"/>
      <c r="X564" s="75"/>
      <c r="Y564" s="75"/>
      <c r="Z564" s="78"/>
      <c r="AA564" s="78"/>
      <c r="AB564" s="75"/>
      <c r="AJ564" s="72"/>
    </row>
    <row r="565" spans="1:36" s="69" customFormat="1" x14ac:dyDescent="0.25">
      <c r="A565" s="75"/>
      <c r="B565" s="75"/>
      <c r="C565" s="76"/>
      <c r="D565" s="76"/>
      <c r="E565" s="75"/>
      <c r="F565" s="75"/>
      <c r="G565" s="75"/>
      <c r="H565" s="75"/>
      <c r="I565" s="75"/>
      <c r="J565" s="75"/>
      <c r="K565" s="75"/>
      <c r="L565" s="75"/>
      <c r="M565" s="75"/>
      <c r="N565" s="75"/>
      <c r="O565" s="75"/>
      <c r="P565" s="75"/>
      <c r="Q565" s="75"/>
      <c r="R565" s="75"/>
      <c r="S565" s="75"/>
      <c r="T565" s="75"/>
      <c r="U565" s="75"/>
      <c r="V565" s="77"/>
      <c r="W565" s="75"/>
      <c r="X565" s="75"/>
      <c r="Y565" s="75"/>
      <c r="Z565" s="78"/>
      <c r="AA565" s="78"/>
      <c r="AB565" s="75"/>
      <c r="AJ565" s="72"/>
    </row>
    <row r="566" spans="1:36" s="69" customFormat="1" x14ac:dyDescent="0.25">
      <c r="A566" s="75"/>
      <c r="B566" s="75"/>
      <c r="C566" s="76"/>
      <c r="D566" s="76"/>
      <c r="E566" s="75"/>
      <c r="F566" s="75"/>
      <c r="G566" s="75"/>
      <c r="H566" s="75"/>
      <c r="I566" s="75"/>
      <c r="J566" s="75"/>
      <c r="K566" s="75"/>
      <c r="L566" s="75"/>
      <c r="M566" s="75"/>
      <c r="N566" s="75"/>
      <c r="O566" s="75"/>
      <c r="P566" s="75"/>
      <c r="Q566" s="75"/>
      <c r="R566" s="75"/>
      <c r="S566" s="75"/>
      <c r="T566" s="75"/>
      <c r="U566" s="75"/>
      <c r="V566" s="77"/>
      <c r="W566" s="75"/>
      <c r="X566" s="75"/>
      <c r="Y566" s="75"/>
      <c r="Z566" s="78"/>
      <c r="AA566" s="78"/>
      <c r="AB566" s="75"/>
      <c r="AJ566" s="72"/>
    </row>
    <row r="567" spans="1:36" s="69" customFormat="1" x14ac:dyDescent="0.25">
      <c r="A567" s="75"/>
      <c r="B567" s="75"/>
      <c r="C567" s="76"/>
      <c r="D567" s="76"/>
      <c r="E567" s="75"/>
      <c r="F567" s="75"/>
      <c r="G567" s="75"/>
      <c r="H567" s="75"/>
      <c r="I567" s="75"/>
      <c r="J567" s="75"/>
      <c r="K567" s="75"/>
      <c r="L567" s="75"/>
      <c r="M567" s="75"/>
      <c r="N567" s="75"/>
      <c r="O567" s="75"/>
      <c r="P567" s="75"/>
      <c r="Q567" s="75"/>
      <c r="R567" s="75"/>
      <c r="S567" s="75"/>
      <c r="T567" s="75"/>
      <c r="U567" s="75"/>
      <c r="V567" s="77"/>
      <c r="W567" s="75"/>
      <c r="X567" s="75"/>
      <c r="Y567" s="75"/>
      <c r="Z567" s="78"/>
      <c r="AA567" s="78"/>
      <c r="AB567" s="75"/>
      <c r="AJ567" s="72"/>
    </row>
    <row r="568" spans="1:36" s="69" customFormat="1" x14ac:dyDescent="0.25">
      <c r="A568" s="75"/>
      <c r="B568" s="75"/>
      <c r="C568" s="76"/>
      <c r="D568" s="76"/>
      <c r="E568" s="75"/>
      <c r="F568" s="75"/>
      <c r="G568" s="75"/>
      <c r="H568" s="75"/>
      <c r="I568" s="75"/>
      <c r="J568" s="75"/>
      <c r="K568" s="75"/>
      <c r="L568" s="75"/>
      <c r="M568" s="75"/>
      <c r="N568" s="75"/>
      <c r="O568" s="75"/>
      <c r="P568" s="75"/>
      <c r="Q568" s="75"/>
      <c r="R568" s="75"/>
      <c r="S568" s="75"/>
      <c r="T568" s="75"/>
      <c r="U568" s="75"/>
      <c r="V568" s="77"/>
      <c r="W568" s="75"/>
      <c r="X568" s="75"/>
      <c r="Y568" s="75"/>
      <c r="Z568" s="78"/>
      <c r="AA568" s="78"/>
      <c r="AB568" s="75"/>
      <c r="AJ568" s="72"/>
    </row>
    <row r="569" spans="1:36" s="69" customFormat="1" x14ac:dyDescent="0.25">
      <c r="A569" s="75"/>
      <c r="B569" s="75"/>
      <c r="C569" s="76"/>
      <c r="D569" s="76"/>
      <c r="E569" s="75"/>
      <c r="F569" s="75"/>
      <c r="G569" s="75"/>
      <c r="H569" s="75"/>
      <c r="I569" s="75"/>
      <c r="J569" s="75"/>
      <c r="K569" s="75"/>
      <c r="L569" s="75"/>
      <c r="M569" s="75"/>
      <c r="N569" s="75"/>
      <c r="O569" s="75"/>
      <c r="P569" s="75"/>
      <c r="Q569" s="75"/>
      <c r="R569" s="75"/>
      <c r="S569" s="75"/>
      <c r="T569" s="75"/>
      <c r="U569" s="75"/>
      <c r="V569" s="77"/>
      <c r="W569" s="75"/>
      <c r="X569" s="75"/>
      <c r="Y569" s="75"/>
      <c r="Z569" s="78"/>
      <c r="AA569" s="78"/>
      <c r="AB569" s="75"/>
      <c r="AJ569" s="72"/>
    </row>
    <row r="570" spans="1:36" s="69" customFormat="1" x14ac:dyDescent="0.25">
      <c r="A570" s="75"/>
      <c r="B570" s="75"/>
      <c r="C570" s="76"/>
      <c r="D570" s="76"/>
      <c r="E570" s="75"/>
      <c r="F570" s="75"/>
      <c r="G570" s="75"/>
      <c r="H570" s="75"/>
      <c r="I570" s="75"/>
      <c r="J570" s="75"/>
      <c r="K570" s="75"/>
      <c r="L570" s="75"/>
      <c r="M570" s="75"/>
      <c r="N570" s="75"/>
      <c r="O570" s="75"/>
      <c r="P570" s="75"/>
      <c r="Q570" s="75"/>
      <c r="R570" s="75"/>
      <c r="S570" s="75"/>
      <c r="T570" s="75"/>
      <c r="U570" s="75"/>
      <c r="V570" s="77"/>
      <c r="W570" s="75"/>
      <c r="X570" s="75"/>
      <c r="Y570" s="75"/>
      <c r="Z570" s="78"/>
      <c r="AA570" s="78"/>
      <c r="AB570" s="75"/>
      <c r="AJ570" s="72"/>
    </row>
    <row r="571" spans="1:36" s="69" customFormat="1" x14ac:dyDescent="0.25">
      <c r="A571" s="75"/>
      <c r="B571" s="75"/>
      <c r="C571" s="76"/>
      <c r="D571" s="76"/>
      <c r="E571" s="75"/>
      <c r="F571" s="75"/>
      <c r="G571" s="75"/>
      <c r="H571" s="75"/>
      <c r="I571" s="75"/>
      <c r="J571" s="75"/>
      <c r="K571" s="75"/>
      <c r="L571" s="75"/>
      <c r="M571" s="75"/>
      <c r="N571" s="75"/>
      <c r="O571" s="75"/>
      <c r="P571" s="75"/>
      <c r="Q571" s="75"/>
      <c r="R571" s="75"/>
      <c r="S571" s="75"/>
      <c r="T571" s="75"/>
      <c r="U571" s="75"/>
      <c r="V571" s="77"/>
      <c r="W571" s="75"/>
      <c r="X571" s="75"/>
      <c r="Y571" s="75"/>
      <c r="Z571" s="78"/>
      <c r="AA571" s="78"/>
      <c r="AB571" s="75"/>
      <c r="AJ571" s="72"/>
    </row>
    <row r="572" spans="1:36" s="69" customFormat="1" x14ac:dyDescent="0.25">
      <c r="B572" s="75"/>
      <c r="C572" s="76"/>
      <c r="D572" s="76"/>
      <c r="E572" s="75"/>
      <c r="F572" s="75"/>
      <c r="G572" s="75"/>
      <c r="H572" s="75"/>
      <c r="I572" s="75"/>
      <c r="J572" s="75"/>
      <c r="K572" s="75"/>
      <c r="L572" s="75"/>
      <c r="M572" s="75"/>
      <c r="N572" s="75"/>
      <c r="O572" s="75"/>
      <c r="P572" s="75"/>
      <c r="Q572" s="75"/>
      <c r="R572" s="75"/>
      <c r="S572" s="75"/>
      <c r="T572" s="75"/>
      <c r="U572" s="75"/>
      <c r="V572" s="77"/>
      <c r="W572" s="75"/>
      <c r="X572" s="75"/>
      <c r="Y572" s="75"/>
      <c r="Z572" s="78"/>
      <c r="AA572" s="78"/>
      <c r="AB572" s="75"/>
      <c r="AJ572" s="72"/>
    </row>
    <row r="573" spans="1:36" s="69" customFormat="1" x14ac:dyDescent="0.25">
      <c r="B573" s="75"/>
      <c r="C573" s="76"/>
      <c r="D573" s="76"/>
      <c r="E573" s="75"/>
      <c r="F573" s="75"/>
      <c r="G573" s="75"/>
      <c r="H573" s="75"/>
      <c r="I573" s="75"/>
      <c r="J573" s="75"/>
      <c r="K573" s="75"/>
      <c r="L573" s="75"/>
      <c r="M573" s="75"/>
      <c r="N573" s="75"/>
      <c r="O573" s="75"/>
      <c r="P573" s="75"/>
      <c r="Q573" s="75"/>
      <c r="R573" s="75"/>
      <c r="S573" s="75"/>
      <c r="T573" s="75"/>
      <c r="U573" s="75"/>
      <c r="V573" s="77"/>
      <c r="W573" s="75"/>
      <c r="X573" s="75"/>
      <c r="Y573" s="75"/>
      <c r="Z573" s="78"/>
      <c r="AA573" s="78"/>
      <c r="AB573" s="75"/>
      <c r="AJ573" s="72"/>
    </row>
    <row r="574" spans="1:36" s="69" customFormat="1" x14ac:dyDescent="0.25">
      <c r="B574" s="75"/>
      <c r="C574" s="76"/>
      <c r="D574" s="76"/>
      <c r="E574" s="75"/>
      <c r="F574" s="75"/>
      <c r="G574" s="75"/>
      <c r="H574" s="75"/>
      <c r="I574" s="75"/>
      <c r="J574" s="75"/>
      <c r="K574" s="75"/>
      <c r="L574" s="75"/>
      <c r="M574" s="75"/>
      <c r="N574" s="75"/>
      <c r="O574" s="75"/>
      <c r="P574" s="75"/>
      <c r="Q574" s="75"/>
      <c r="R574" s="75"/>
      <c r="S574" s="75"/>
      <c r="T574" s="75"/>
      <c r="U574" s="75"/>
      <c r="V574" s="77"/>
      <c r="W574" s="75"/>
      <c r="X574" s="75"/>
      <c r="Y574" s="75"/>
      <c r="Z574" s="78"/>
      <c r="AA574" s="78"/>
      <c r="AB574" s="75"/>
      <c r="AJ574" s="72"/>
    </row>
    <row r="575" spans="1:36" s="69" customFormat="1" x14ac:dyDescent="0.25">
      <c r="B575" s="75"/>
      <c r="C575" s="76"/>
      <c r="D575" s="76"/>
      <c r="E575" s="75"/>
      <c r="F575" s="75"/>
      <c r="G575" s="75"/>
      <c r="H575" s="75"/>
      <c r="I575" s="75"/>
      <c r="J575" s="75"/>
      <c r="K575" s="75"/>
      <c r="L575" s="75"/>
      <c r="M575" s="75"/>
      <c r="N575" s="75"/>
      <c r="O575" s="75"/>
      <c r="P575" s="75"/>
      <c r="Q575" s="75"/>
      <c r="R575" s="75"/>
      <c r="S575" s="75"/>
      <c r="T575" s="75"/>
      <c r="U575" s="75"/>
      <c r="V575" s="77"/>
      <c r="W575" s="75"/>
      <c r="X575" s="75"/>
      <c r="Y575" s="75"/>
      <c r="Z575" s="78"/>
      <c r="AA575" s="78"/>
      <c r="AB575" s="75"/>
      <c r="AJ575" s="72"/>
    </row>
    <row r="576" spans="1:36" s="69" customFormat="1" x14ac:dyDescent="0.25">
      <c r="B576" s="75"/>
      <c r="C576" s="76"/>
      <c r="D576" s="76"/>
      <c r="E576" s="75"/>
      <c r="F576" s="75"/>
      <c r="G576" s="75"/>
      <c r="H576" s="75"/>
      <c r="I576" s="75"/>
      <c r="J576" s="75"/>
      <c r="K576" s="75"/>
      <c r="L576" s="75"/>
      <c r="M576" s="75"/>
      <c r="N576" s="75"/>
      <c r="O576" s="75"/>
      <c r="P576" s="75"/>
      <c r="Q576" s="75"/>
      <c r="R576" s="75"/>
      <c r="S576" s="75"/>
      <c r="T576" s="75"/>
      <c r="U576" s="75"/>
      <c r="V576" s="77"/>
      <c r="W576" s="75"/>
      <c r="X576" s="75"/>
      <c r="Y576" s="75"/>
      <c r="Z576" s="78"/>
      <c r="AA576" s="78"/>
      <c r="AB576" s="75"/>
      <c r="AJ576" s="72"/>
    </row>
    <row r="577" spans="2:36" s="69" customFormat="1" x14ac:dyDescent="0.25">
      <c r="B577" s="75"/>
      <c r="C577" s="76"/>
      <c r="D577" s="76"/>
      <c r="E577" s="75"/>
      <c r="F577" s="75"/>
      <c r="G577" s="75"/>
      <c r="H577" s="75"/>
      <c r="I577" s="75"/>
      <c r="J577" s="75"/>
      <c r="K577" s="75"/>
      <c r="L577" s="75"/>
      <c r="M577" s="75"/>
      <c r="N577" s="75"/>
      <c r="O577" s="75"/>
      <c r="P577" s="75"/>
      <c r="Q577" s="75"/>
      <c r="R577" s="75"/>
      <c r="S577" s="75"/>
      <c r="T577" s="75"/>
      <c r="U577" s="75"/>
      <c r="V577" s="77"/>
      <c r="W577" s="75"/>
      <c r="X577" s="75"/>
      <c r="Y577" s="75"/>
      <c r="Z577" s="78"/>
      <c r="AA577" s="78"/>
      <c r="AB577" s="75"/>
      <c r="AJ577" s="72"/>
    </row>
    <row r="578" spans="2:36" s="69" customFormat="1" x14ac:dyDescent="0.25">
      <c r="B578" s="75"/>
      <c r="C578" s="76"/>
      <c r="D578" s="76"/>
      <c r="E578" s="75"/>
      <c r="F578" s="75"/>
      <c r="G578" s="75"/>
      <c r="H578" s="75"/>
      <c r="I578" s="75"/>
      <c r="J578" s="75"/>
      <c r="K578" s="75"/>
      <c r="L578" s="75"/>
      <c r="M578" s="75"/>
      <c r="N578" s="75"/>
      <c r="O578" s="75"/>
      <c r="P578" s="75"/>
      <c r="Q578" s="75"/>
      <c r="R578" s="75"/>
      <c r="S578" s="75"/>
      <c r="T578" s="75"/>
      <c r="U578" s="75"/>
      <c r="V578" s="77"/>
      <c r="W578" s="75"/>
      <c r="X578" s="75"/>
      <c r="Y578" s="75"/>
      <c r="Z578" s="78"/>
      <c r="AA578" s="78"/>
      <c r="AB578" s="75"/>
      <c r="AJ578" s="72"/>
    </row>
    <row r="579" spans="2:36" s="69" customFormat="1" x14ac:dyDescent="0.25">
      <c r="B579" s="75"/>
      <c r="C579" s="76"/>
      <c r="D579" s="76"/>
      <c r="E579" s="75"/>
      <c r="F579" s="75"/>
      <c r="G579" s="75"/>
      <c r="H579" s="75"/>
      <c r="I579" s="75"/>
      <c r="J579" s="75"/>
      <c r="K579" s="75"/>
      <c r="L579" s="75"/>
      <c r="M579" s="75"/>
      <c r="N579" s="75"/>
      <c r="O579" s="75"/>
      <c r="P579" s="75"/>
      <c r="Q579" s="75"/>
      <c r="R579" s="75"/>
      <c r="S579" s="75"/>
      <c r="T579" s="75"/>
      <c r="U579" s="75"/>
      <c r="V579" s="77"/>
      <c r="W579" s="75"/>
      <c r="X579" s="75"/>
      <c r="Y579" s="75"/>
      <c r="Z579" s="78"/>
      <c r="AA579" s="78"/>
      <c r="AB579" s="75"/>
      <c r="AJ579" s="72"/>
    </row>
    <row r="580" spans="2:36" s="69" customFormat="1" x14ac:dyDescent="0.25">
      <c r="B580" s="75"/>
      <c r="C580" s="76"/>
      <c r="D580" s="76"/>
      <c r="E580" s="75"/>
      <c r="F580" s="75"/>
      <c r="G580" s="75"/>
      <c r="H580" s="75"/>
      <c r="I580" s="75"/>
      <c r="J580" s="75"/>
      <c r="K580" s="75"/>
      <c r="L580" s="75"/>
      <c r="M580" s="75"/>
      <c r="N580" s="75"/>
      <c r="O580" s="75"/>
      <c r="P580" s="75"/>
      <c r="Q580" s="75"/>
      <c r="R580" s="75"/>
      <c r="S580" s="75"/>
      <c r="T580" s="75"/>
      <c r="U580" s="75"/>
      <c r="V580" s="77"/>
      <c r="W580" s="75"/>
      <c r="X580" s="75"/>
      <c r="Y580" s="75"/>
      <c r="Z580" s="78"/>
      <c r="AA580" s="78"/>
      <c r="AB580" s="75"/>
      <c r="AJ580" s="72"/>
    </row>
    <row r="581" spans="2:36" s="69" customFormat="1" x14ac:dyDescent="0.25">
      <c r="B581" s="75"/>
      <c r="C581" s="76"/>
      <c r="D581" s="76"/>
      <c r="E581" s="75"/>
      <c r="F581" s="75"/>
      <c r="G581" s="75"/>
      <c r="H581" s="75"/>
      <c r="I581" s="75"/>
      <c r="J581" s="75"/>
      <c r="K581" s="75"/>
      <c r="L581" s="75"/>
      <c r="M581" s="75"/>
      <c r="N581" s="75"/>
      <c r="O581" s="75"/>
      <c r="P581" s="75"/>
      <c r="Q581" s="75"/>
      <c r="R581" s="75"/>
      <c r="S581" s="75"/>
      <c r="T581" s="75"/>
      <c r="U581" s="75"/>
      <c r="V581" s="77"/>
      <c r="W581" s="75"/>
      <c r="X581" s="75"/>
      <c r="Y581" s="75"/>
      <c r="Z581" s="78"/>
      <c r="AA581" s="78"/>
      <c r="AB581" s="75"/>
      <c r="AJ581" s="72"/>
    </row>
    <row r="582" spans="2:36" s="69" customFormat="1" x14ac:dyDescent="0.25">
      <c r="B582" s="75"/>
      <c r="C582" s="76"/>
      <c r="D582" s="76"/>
      <c r="E582" s="75"/>
      <c r="F582" s="75"/>
      <c r="G582" s="75"/>
      <c r="H582" s="75"/>
      <c r="I582" s="75"/>
      <c r="J582" s="75"/>
      <c r="K582" s="75"/>
      <c r="L582" s="75"/>
      <c r="M582" s="75"/>
      <c r="N582" s="75"/>
      <c r="O582" s="75"/>
      <c r="P582" s="75"/>
      <c r="Q582" s="75"/>
      <c r="R582" s="75"/>
      <c r="S582" s="75"/>
      <c r="T582" s="75"/>
      <c r="U582" s="75"/>
      <c r="V582" s="77"/>
      <c r="W582" s="75"/>
      <c r="X582" s="75"/>
      <c r="Y582" s="75"/>
      <c r="Z582" s="78"/>
      <c r="AA582" s="78"/>
      <c r="AB582" s="75"/>
      <c r="AJ582" s="72"/>
    </row>
    <row r="583" spans="2:36" s="69" customFormat="1" x14ac:dyDescent="0.25">
      <c r="B583" s="75"/>
      <c r="C583" s="76"/>
      <c r="D583" s="76"/>
      <c r="E583" s="75"/>
      <c r="F583" s="75"/>
      <c r="G583" s="75"/>
      <c r="H583" s="75"/>
      <c r="I583" s="75"/>
      <c r="J583" s="75"/>
      <c r="K583" s="75"/>
      <c r="L583" s="75"/>
      <c r="M583" s="75"/>
      <c r="N583" s="75"/>
      <c r="O583" s="75"/>
      <c r="P583" s="75"/>
      <c r="Q583" s="75"/>
      <c r="R583" s="75"/>
      <c r="S583" s="75"/>
      <c r="T583" s="75"/>
      <c r="U583" s="75"/>
      <c r="V583" s="77"/>
      <c r="W583" s="75"/>
      <c r="X583" s="75"/>
      <c r="Y583" s="75"/>
      <c r="Z583" s="78"/>
      <c r="AA583" s="78"/>
      <c r="AB583" s="75"/>
      <c r="AJ583" s="72"/>
    </row>
    <row r="584" spans="2:36" s="69" customFormat="1" x14ac:dyDescent="0.25">
      <c r="B584" s="75"/>
      <c r="C584" s="76"/>
      <c r="D584" s="76"/>
      <c r="E584" s="75"/>
      <c r="F584" s="75"/>
      <c r="G584" s="75"/>
      <c r="H584" s="75"/>
      <c r="I584" s="75"/>
      <c r="J584" s="75"/>
      <c r="K584" s="75"/>
      <c r="L584" s="75"/>
      <c r="M584" s="75"/>
      <c r="N584" s="75"/>
      <c r="O584" s="75"/>
      <c r="P584" s="75"/>
      <c r="Q584" s="75"/>
      <c r="R584" s="75"/>
      <c r="S584" s="75"/>
      <c r="T584" s="75"/>
      <c r="U584" s="75"/>
      <c r="V584" s="77"/>
      <c r="W584" s="75"/>
      <c r="X584" s="75"/>
      <c r="Y584" s="75"/>
      <c r="Z584" s="78"/>
      <c r="AA584" s="78"/>
      <c r="AB584" s="75"/>
      <c r="AJ584" s="72"/>
    </row>
    <row r="585" spans="2:36" s="69" customFormat="1" x14ac:dyDescent="0.25">
      <c r="B585" s="75"/>
      <c r="C585" s="76"/>
      <c r="D585" s="76"/>
      <c r="E585" s="75"/>
      <c r="F585" s="75"/>
      <c r="G585" s="75"/>
      <c r="H585" s="75"/>
      <c r="I585" s="75"/>
      <c r="J585" s="75"/>
      <c r="K585" s="75"/>
      <c r="L585" s="75"/>
      <c r="M585" s="75"/>
      <c r="N585" s="75"/>
      <c r="O585" s="75"/>
      <c r="P585" s="75"/>
      <c r="Q585" s="75"/>
      <c r="R585" s="75"/>
      <c r="S585" s="75"/>
      <c r="T585" s="75"/>
      <c r="U585" s="75"/>
      <c r="V585" s="77"/>
      <c r="W585" s="75"/>
      <c r="X585" s="75"/>
      <c r="Y585" s="75"/>
      <c r="Z585" s="78"/>
      <c r="AA585" s="78"/>
      <c r="AB585" s="75"/>
      <c r="AJ585" s="72"/>
    </row>
    <row r="586" spans="2:36" s="69" customFormat="1" x14ac:dyDescent="0.25">
      <c r="B586" s="75"/>
      <c r="C586" s="76"/>
      <c r="D586" s="76"/>
      <c r="E586" s="75"/>
      <c r="F586" s="75"/>
      <c r="G586" s="75"/>
      <c r="H586" s="75"/>
      <c r="I586" s="75"/>
      <c r="J586" s="75"/>
      <c r="K586" s="75"/>
      <c r="L586" s="75"/>
      <c r="M586" s="75"/>
      <c r="N586" s="75"/>
      <c r="O586" s="75"/>
      <c r="P586" s="75"/>
      <c r="Q586" s="75"/>
      <c r="R586" s="75"/>
      <c r="S586" s="75"/>
      <c r="T586" s="75"/>
      <c r="U586" s="75"/>
      <c r="V586" s="77"/>
      <c r="W586" s="75"/>
      <c r="X586" s="75"/>
      <c r="Y586" s="75"/>
      <c r="Z586" s="78"/>
      <c r="AA586" s="78"/>
      <c r="AB586" s="75"/>
      <c r="AJ586" s="72"/>
    </row>
    <row r="587" spans="2:36" s="69" customFormat="1" x14ac:dyDescent="0.25">
      <c r="B587" s="75"/>
      <c r="C587" s="76"/>
      <c r="D587" s="76"/>
      <c r="E587" s="75"/>
      <c r="F587" s="75"/>
      <c r="G587" s="75"/>
      <c r="H587" s="75"/>
      <c r="I587" s="75"/>
      <c r="J587" s="75"/>
      <c r="K587" s="75"/>
      <c r="L587" s="75"/>
      <c r="M587" s="75"/>
      <c r="N587" s="75"/>
      <c r="O587" s="75"/>
      <c r="P587" s="75"/>
      <c r="Q587" s="75"/>
      <c r="R587" s="75"/>
      <c r="S587" s="75"/>
      <c r="T587" s="75"/>
      <c r="U587" s="75"/>
      <c r="V587" s="77"/>
      <c r="W587" s="75"/>
      <c r="X587" s="75"/>
      <c r="Y587" s="75"/>
      <c r="Z587" s="78"/>
      <c r="AA587" s="78"/>
      <c r="AB587" s="75"/>
      <c r="AJ587" s="72"/>
    </row>
    <row r="588" spans="2:36" s="69" customFormat="1" x14ac:dyDescent="0.25">
      <c r="B588" s="75"/>
      <c r="C588" s="76"/>
      <c r="D588" s="76"/>
      <c r="E588" s="75"/>
      <c r="F588" s="75"/>
      <c r="G588" s="75"/>
      <c r="H588" s="75"/>
      <c r="I588" s="75"/>
      <c r="J588" s="75"/>
      <c r="K588" s="75"/>
      <c r="L588" s="75"/>
      <c r="M588" s="75"/>
      <c r="N588" s="75"/>
      <c r="O588" s="75"/>
      <c r="P588" s="75"/>
      <c r="Q588" s="75"/>
      <c r="R588" s="75"/>
      <c r="S588" s="75"/>
      <c r="T588" s="75"/>
      <c r="U588" s="75"/>
      <c r="V588" s="77"/>
      <c r="W588" s="75"/>
      <c r="X588" s="75"/>
      <c r="Y588" s="75"/>
      <c r="Z588" s="78"/>
      <c r="AA588" s="78"/>
      <c r="AB588" s="75"/>
      <c r="AJ588" s="72"/>
    </row>
    <row r="589" spans="2:36" s="69" customFormat="1" x14ac:dyDescent="0.25">
      <c r="B589" s="75"/>
      <c r="C589" s="76"/>
      <c r="D589" s="76"/>
      <c r="E589" s="75"/>
      <c r="F589" s="75"/>
      <c r="G589" s="75"/>
      <c r="H589" s="75"/>
      <c r="I589" s="75"/>
      <c r="J589" s="75"/>
      <c r="K589" s="75"/>
      <c r="L589" s="75"/>
      <c r="M589" s="75"/>
      <c r="N589" s="75"/>
      <c r="O589" s="75"/>
      <c r="P589" s="75"/>
      <c r="Q589" s="75"/>
      <c r="R589" s="75"/>
      <c r="S589" s="75"/>
      <c r="T589" s="75"/>
      <c r="U589" s="75"/>
      <c r="V589" s="77"/>
      <c r="W589" s="75"/>
      <c r="X589" s="75"/>
      <c r="Y589" s="75"/>
      <c r="Z589" s="78"/>
      <c r="AA589" s="78"/>
      <c r="AB589" s="75"/>
      <c r="AJ589" s="72"/>
    </row>
    <row r="590" spans="2:36" s="69" customFormat="1" x14ac:dyDescent="0.25">
      <c r="B590" s="75"/>
      <c r="C590" s="76"/>
      <c r="D590" s="76"/>
      <c r="E590" s="75"/>
      <c r="F590" s="75"/>
      <c r="G590" s="75"/>
      <c r="H590" s="75"/>
      <c r="I590" s="75"/>
      <c r="J590" s="75"/>
      <c r="K590" s="75"/>
      <c r="L590" s="75"/>
      <c r="M590" s="75"/>
      <c r="N590" s="75"/>
      <c r="O590" s="75"/>
      <c r="P590" s="75"/>
      <c r="Q590" s="75"/>
      <c r="R590" s="75"/>
      <c r="S590" s="75"/>
      <c r="T590" s="75"/>
      <c r="U590" s="75"/>
      <c r="V590" s="77"/>
      <c r="W590" s="75"/>
      <c r="X590" s="75"/>
      <c r="Y590" s="75"/>
      <c r="Z590" s="78"/>
      <c r="AA590" s="78"/>
      <c r="AB590" s="75"/>
      <c r="AJ590" s="72"/>
    </row>
    <row r="591" spans="2:36" s="69" customFormat="1" x14ac:dyDescent="0.25">
      <c r="B591" s="75"/>
      <c r="C591" s="76"/>
      <c r="D591" s="76"/>
      <c r="E591" s="75"/>
      <c r="F591" s="75"/>
      <c r="G591" s="75"/>
      <c r="H591" s="75"/>
      <c r="I591" s="75"/>
      <c r="J591" s="75"/>
      <c r="K591" s="75"/>
      <c r="L591" s="75"/>
      <c r="M591" s="75"/>
      <c r="N591" s="75"/>
      <c r="O591" s="75"/>
      <c r="P591" s="75"/>
      <c r="Q591" s="75"/>
      <c r="R591" s="75"/>
      <c r="S591" s="75"/>
      <c r="T591" s="75"/>
      <c r="U591" s="75"/>
      <c r="V591" s="77"/>
      <c r="W591" s="75"/>
      <c r="X591" s="75"/>
      <c r="Y591" s="75"/>
      <c r="Z591" s="78"/>
      <c r="AA591" s="78"/>
      <c r="AB591" s="75"/>
      <c r="AJ591" s="72"/>
    </row>
    <row r="592" spans="2:36" s="69" customFormat="1" x14ac:dyDescent="0.25">
      <c r="B592" s="75"/>
      <c r="C592" s="76"/>
      <c r="D592" s="76"/>
      <c r="E592" s="75"/>
      <c r="F592" s="75"/>
      <c r="G592" s="75"/>
      <c r="H592" s="75"/>
      <c r="I592" s="75"/>
      <c r="J592" s="75"/>
      <c r="K592" s="75"/>
      <c r="L592" s="75"/>
      <c r="M592" s="75"/>
      <c r="N592" s="75"/>
      <c r="O592" s="75"/>
      <c r="P592" s="75"/>
      <c r="Q592" s="75"/>
      <c r="R592" s="75"/>
      <c r="S592" s="75"/>
      <c r="T592" s="75"/>
      <c r="U592" s="75"/>
      <c r="V592" s="77"/>
      <c r="W592" s="75"/>
      <c r="X592" s="75"/>
      <c r="Y592" s="75"/>
      <c r="Z592" s="78"/>
      <c r="AA592" s="78"/>
      <c r="AB592" s="75"/>
      <c r="AJ592" s="72"/>
    </row>
    <row r="593" spans="2:36" s="69" customFormat="1" x14ac:dyDescent="0.25">
      <c r="C593" s="70"/>
      <c r="D593" s="70"/>
      <c r="V593" s="71"/>
      <c r="Z593" s="73"/>
      <c r="AA593" s="73"/>
      <c r="AJ593" s="72"/>
    </row>
    <row r="594" spans="2:36" s="69" customFormat="1" x14ac:dyDescent="0.25">
      <c r="C594" s="70"/>
      <c r="D594" s="70"/>
      <c r="V594" s="71"/>
      <c r="Z594" s="73"/>
      <c r="AA594" s="73"/>
      <c r="AJ594" s="72"/>
    </row>
    <row r="595" spans="2:36" s="69" customFormat="1" x14ac:dyDescent="0.25">
      <c r="C595" s="70"/>
      <c r="D595" s="70"/>
      <c r="V595" s="71"/>
      <c r="Z595" s="73"/>
      <c r="AA595" s="73"/>
      <c r="AJ595" s="72"/>
    </row>
    <row r="596" spans="2:36" s="69" customFormat="1" x14ac:dyDescent="0.25">
      <c r="C596" s="70"/>
      <c r="D596" s="70"/>
      <c r="V596" s="71"/>
      <c r="Z596" s="73"/>
      <c r="AA596" s="73"/>
      <c r="AJ596" s="72"/>
    </row>
    <row r="597" spans="2:36" x14ac:dyDescent="0.25">
      <c r="B597" s="24"/>
      <c r="C597" s="25"/>
      <c r="D597" s="25"/>
      <c r="E597" s="24"/>
      <c r="F597" s="24"/>
      <c r="G597" s="24"/>
      <c r="H597" s="24"/>
      <c r="I597" s="24"/>
      <c r="J597" s="24"/>
      <c r="K597" s="24"/>
      <c r="L597" s="24"/>
      <c r="M597" s="24"/>
      <c r="N597" s="24"/>
      <c r="O597" s="24"/>
      <c r="P597" s="24"/>
      <c r="Q597" s="24"/>
      <c r="R597" s="24"/>
      <c r="S597" s="24"/>
      <c r="T597" s="24"/>
      <c r="U597" s="24"/>
      <c r="V597" s="26"/>
    </row>
    <row r="598" spans="2:36" x14ac:dyDescent="0.25">
      <c r="B598" s="24"/>
      <c r="C598" s="25"/>
      <c r="D598" s="25"/>
      <c r="E598" s="24"/>
      <c r="F598" s="24"/>
      <c r="G598" s="24"/>
      <c r="H598" s="24"/>
      <c r="I598" s="24"/>
      <c r="J598" s="24"/>
      <c r="K598" s="24"/>
      <c r="L598" s="24"/>
      <c r="M598" s="24"/>
      <c r="N598" s="24"/>
      <c r="O598" s="24"/>
      <c r="P598" s="24"/>
      <c r="Q598" s="24"/>
      <c r="R598" s="24"/>
      <c r="S598" s="24"/>
      <c r="T598" s="24"/>
      <c r="U598" s="24"/>
      <c r="V598" s="26"/>
    </row>
    <row r="599" spans="2:36" x14ac:dyDescent="0.25">
      <c r="B599" s="24"/>
      <c r="C599" s="25"/>
      <c r="D599" s="25"/>
      <c r="E599" s="24"/>
      <c r="F599" s="24"/>
      <c r="G599" s="24"/>
      <c r="H599" s="24"/>
      <c r="I599" s="24"/>
      <c r="J599" s="24"/>
      <c r="K599" s="24"/>
      <c r="L599" s="24"/>
      <c r="M599" s="24"/>
      <c r="N599" s="24"/>
      <c r="O599" s="24"/>
      <c r="P599" s="24"/>
      <c r="Q599" s="24"/>
      <c r="R599" s="24"/>
      <c r="S599" s="24"/>
      <c r="T599" s="24"/>
      <c r="U599" s="24"/>
      <c r="V599" s="26"/>
    </row>
    <row r="600" spans="2:36" x14ac:dyDescent="0.25">
      <c r="B600" s="24"/>
      <c r="C600" s="25"/>
      <c r="D600" s="25"/>
      <c r="E600" s="24"/>
      <c r="F600" s="24"/>
      <c r="G600" s="24"/>
      <c r="H600" s="24"/>
      <c r="I600" s="24"/>
      <c r="J600" s="24"/>
      <c r="K600" s="24"/>
      <c r="L600" s="24"/>
      <c r="M600" s="24"/>
      <c r="N600" s="24"/>
      <c r="O600" s="24"/>
      <c r="P600" s="24"/>
      <c r="Q600" s="24"/>
      <c r="R600" s="24"/>
      <c r="S600" s="24"/>
      <c r="T600" s="24"/>
      <c r="U600" s="24"/>
      <c r="V600" s="26"/>
    </row>
    <row r="601" spans="2:36" x14ac:dyDescent="0.25">
      <c r="B601" s="24"/>
      <c r="C601" s="25"/>
      <c r="D601" s="25"/>
      <c r="E601" s="24"/>
      <c r="F601" s="24"/>
      <c r="G601" s="24"/>
      <c r="H601" s="24"/>
      <c r="I601" s="24"/>
      <c r="J601" s="24"/>
      <c r="K601" s="24"/>
      <c r="L601" s="24"/>
      <c r="M601" s="24"/>
      <c r="N601" s="24"/>
      <c r="O601" s="24"/>
      <c r="P601" s="24"/>
      <c r="Q601" s="24"/>
      <c r="R601" s="24"/>
      <c r="S601" s="24"/>
      <c r="T601" s="24"/>
      <c r="U601" s="24"/>
      <c r="V601" s="26"/>
    </row>
    <row r="602" spans="2:36" x14ac:dyDescent="0.25">
      <c r="B602" s="24"/>
      <c r="C602" s="25"/>
      <c r="D602" s="25"/>
      <c r="E602" s="24"/>
      <c r="F602" s="24"/>
      <c r="G602" s="24"/>
      <c r="H602" s="24"/>
      <c r="I602" s="24"/>
      <c r="J602" s="24"/>
      <c r="K602" s="24"/>
      <c r="L602" s="24"/>
      <c r="M602" s="24"/>
      <c r="N602" s="24"/>
      <c r="O602" s="24"/>
      <c r="P602" s="24"/>
      <c r="Q602" s="24"/>
      <c r="R602" s="24"/>
      <c r="S602" s="24"/>
      <c r="T602" s="24"/>
      <c r="U602" s="24"/>
      <c r="V602" s="26"/>
    </row>
  </sheetData>
  <sheetProtection selectLockedCells="1"/>
  <mergeCells count="25">
    <mergeCell ref="I332:J332"/>
    <mergeCell ref="K332:L332"/>
    <mergeCell ref="O332:P332"/>
    <mergeCell ref="Q332:U332"/>
    <mergeCell ref="I333:J333"/>
    <mergeCell ref="K333:L333"/>
    <mergeCell ref="O333:P333"/>
    <mergeCell ref="Q333:U333"/>
    <mergeCell ref="O6:P6"/>
    <mergeCell ref="Q6:U6"/>
    <mergeCell ref="E326:G326"/>
    <mergeCell ref="I331:J331"/>
    <mergeCell ref="K331:L331"/>
    <mergeCell ref="O331:P331"/>
    <mergeCell ref="Q331:U331"/>
    <mergeCell ref="B2:V2"/>
    <mergeCell ref="E4:V4"/>
    <mergeCell ref="E5:G6"/>
    <mergeCell ref="I5:J5"/>
    <mergeCell ref="K5:L5"/>
    <mergeCell ref="O5:P5"/>
    <mergeCell ref="Q5:U5"/>
    <mergeCell ref="V5:V6"/>
    <mergeCell ref="I6:J6"/>
    <mergeCell ref="K6:L6"/>
  </mergeCells>
  <conditionalFormatting sqref="G8:G325">
    <cfRule type="expression" dxfId="99" priority="6">
      <formula>$G8&lt;&gt;""</formula>
    </cfRule>
  </conditionalFormatting>
  <conditionalFormatting sqref="M332:O332 K332 H332:I332 Q332">
    <cfRule type="cellIs" dxfId="98" priority="3" operator="greaterThanOrEqual">
      <formula>0.9</formula>
    </cfRule>
    <cfRule type="cellIs" dxfId="97" priority="4" operator="between">
      <formula>0.00001</formula>
      <formula>0.499999</formula>
    </cfRule>
    <cfRule type="cellIs" dxfId="96" priority="5" operator="between">
      <formula>0.5</formula>
      <formula>0.89999</formula>
    </cfRule>
  </conditionalFormatting>
  <conditionalFormatting sqref="K332:K333 H332:I332 M332:O333 Q332:Q333">
    <cfRule type="containsErrors" dxfId="95" priority="7">
      <formula>ISERROR(H332)</formula>
    </cfRule>
  </conditionalFormatting>
  <conditionalFormatting sqref="H333:I333">
    <cfRule type="containsErrors" dxfId="94" priority="2">
      <formula>ISERROR(H333)</formula>
    </cfRule>
  </conditionalFormatting>
  <conditionalFormatting sqref="G8:G325">
    <cfRule type="expression" dxfId="93" priority="1">
      <formula>$G8=FALSE</formula>
    </cfRule>
  </conditionalFormatting>
  <pageMargins left="0.25" right="0.25" top="0.75" bottom="0.75" header="0.3" footer="0.3"/>
  <pageSetup scale="78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B1286C2F-C41A-4087-99DC-F40AF74528A6}">
          <x14:formula1>
            <xm:f>Données!$N$1:$N$4</xm:f>
          </x14:formula1>
          <xm:sqref>G8 G11</xm:sqref>
        </x14:dataValidation>
        <x14:dataValidation type="list" allowBlank="1" showInputMessage="1" showErrorMessage="1" xr:uid="{9F6F0728-860F-4B70-B00A-7C57CAF64BFC}">
          <x14:formula1>
            <xm:f>Données!$N$1:$N$4</xm:f>
          </x14:formula1>
          <xm:sqref>G9:G10 G12:G325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12D7B1-36DD-452E-87BC-0D69FEF755AA}">
  <sheetPr codeName="Feuil22">
    <tabColor theme="9"/>
    <pageSetUpPr fitToPage="1"/>
  </sheetPr>
  <dimension ref="A1:AL602"/>
  <sheetViews>
    <sheetView showGridLines="0" zoomScaleNormal="100" workbookViewId="0">
      <selection activeCell="H6" sqref="H6"/>
    </sheetView>
  </sheetViews>
  <sheetFormatPr baseColWidth="10" defaultColWidth="11.42578125" defaultRowHeight="15" x14ac:dyDescent="0.25"/>
  <cols>
    <col min="1" max="1" width="2.7109375" style="69" customWidth="1"/>
    <col min="2" max="2" width="23.5703125" style="3" customWidth="1"/>
    <col min="3" max="3" width="22.42578125" style="4" hidden="1" customWidth="1"/>
    <col min="4" max="4" width="25.140625" style="4" hidden="1" customWidth="1"/>
    <col min="5" max="5" width="15" style="3" customWidth="1"/>
    <col min="6" max="6" width="12.42578125" style="3" hidden="1" customWidth="1"/>
    <col min="7" max="7" width="6" style="3" customWidth="1"/>
    <col min="8" max="8" width="10.7109375" style="3" customWidth="1"/>
    <col min="9" max="21" width="7.85546875" style="3" customWidth="1"/>
    <col min="22" max="22" width="32.28515625" style="1" customWidth="1"/>
    <col min="23" max="23" width="4.140625" style="69" customWidth="1"/>
    <col min="24" max="25" width="11.42578125" style="69"/>
    <col min="26" max="27" width="11.42578125" style="73"/>
    <col min="28" max="35" width="11.42578125" style="69"/>
    <col min="36" max="36" width="11.42578125" style="72"/>
    <col min="37" max="16384" width="11.42578125" style="3"/>
  </cols>
  <sheetData>
    <row r="1" spans="1:38" s="69" customFormat="1" ht="3" customHeight="1" x14ac:dyDescent="0.25">
      <c r="A1" s="75"/>
      <c r="B1" s="75"/>
      <c r="C1" s="76"/>
      <c r="D1" s="76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7"/>
      <c r="W1" s="75"/>
      <c r="X1" s="75"/>
      <c r="Y1" s="75"/>
      <c r="Z1" s="96"/>
      <c r="AA1" s="96">
        <v>3524</v>
      </c>
      <c r="AB1" s="75"/>
      <c r="AC1" s="75"/>
      <c r="AD1" s="75"/>
      <c r="AE1" s="75"/>
      <c r="AF1" s="75"/>
      <c r="AG1" s="75"/>
      <c r="AH1" s="75"/>
      <c r="AI1" s="137"/>
      <c r="AJ1" s="79"/>
      <c r="AK1" s="75"/>
    </row>
    <row r="2" spans="1:38" ht="46.5" x14ac:dyDescent="0.25">
      <c r="A2" s="75"/>
      <c r="B2" s="160" t="s">
        <v>85</v>
      </c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161"/>
      <c r="V2" s="162"/>
      <c r="W2" s="75"/>
      <c r="X2" s="75"/>
      <c r="Y2" s="75"/>
      <c r="Z2" s="96"/>
      <c r="AA2" s="96"/>
      <c r="AB2" s="75"/>
      <c r="AC2" s="75"/>
      <c r="AD2" s="75"/>
      <c r="AE2" s="75"/>
      <c r="AF2" s="75"/>
      <c r="AG2" s="75"/>
      <c r="AH2" s="75"/>
      <c r="AI2" s="75"/>
      <c r="AJ2" s="79"/>
      <c r="AK2" s="75"/>
      <c r="AL2" s="75"/>
    </row>
    <row r="3" spans="1:38" s="69" customFormat="1" ht="3" customHeight="1" x14ac:dyDescent="0.25">
      <c r="A3" s="75"/>
      <c r="B3" s="75"/>
      <c r="C3" s="76"/>
      <c r="D3" s="76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7"/>
      <c r="W3" s="75"/>
      <c r="X3" s="75"/>
      <c r="Y3" s="75"/>
      <c r="Z3" s="96"/>
      <c r="AA3" s="96"/>
      <c r="AB3" s="75"/>
      <c r="AC3" s="75"/>
      <c r="AD3" s="75"/>
      <c r="AE3" s="75"/>
      <c r="AF3" s="75"/>
      <c r="AG3" s="75"/>
      <c r="AH3" s="75"/>
      <c r="AI3" s="75"/>
      <c r="AJ3" s="81"/>
      <c r="AK3" s="75"/>
      <c r="AL3" s="75"/>
    </row>
    <row r="4" spans="1:38" ht="46.5" customHeight="1" x14ac:dyDescent="0.25">
      <c r="A4" s="75"/>
      <c r="B4" s="75"/>
      <c r="C4" s="50"/>
      <c r="D4" s="50"/>
      <c r="E4" s="163" t="s">
        <v>128</v>
      </c>
      <c r="F4" s="164"/>
      <c r="G4" s="164"/>
      <c r="H4" s="164"/>
      <c r="I4" s="164"/>
      <c r="J4" s="164"/>
      <c r="K4" s="164"/>
      <c r="L4" s="164"/>
      <c r="M4" s="164"/>
      <c r="N4" s="164"/>
      <c r="O4" s="164"/>
      <c r="P4" s="164"/>
      <c r="Q4" s="164"/>
      <c r="R4" s="164"/>
      <c r="S4" s="164"/>
      <c r="T4" s="164"/>
      <c r="U4" s="164"/>
      <c r="V4" s="165"/>
      <c r="W4" s="75"/>
      <c r="X4" s="75"/>
      <c r="Y4" s="75"/>
      <c r="Z4" s="96"/>
      <c r="AA4" s="96"/>
      <c r="AB4" s="75"/>
      <c r="AC4" s="75"/>
      <c r="AD4" s="75"/>
      <c r="AE4" s="75"/>
      <c r="AF4" s="75"/>
      <c r="AG4" s="75"/>
      <c r="AH4" s="75"/>
      <c r="AI4" s="75"/>
      <c r="AJ4" s="81"/>
      <c r="AK4" s="75"/>
      <c r="AL4" s="75"/>
    </row>
    <row r="5" spans="1:38" ht="30.75" customHeight="1" x14ac:dyDescent="0.25">
      <c r="A5" s="75"/>
      <c r="B5" s="75"/>
      <c r="C5" s="50"/>
      <c r="D5" s="50"/>
      <c r="E5" s="166" t="s">
        <v>3</v>
      </c>
      <c r="F5" s="167"/>
      <c r="G5" s="168"/>
      <c r="H5" s="147">
        <v>10</v>
      </c>
      <c r="I5" s="172">
        <v>10</v>
      </c>
      <c r="J5" s="173"/>
      <c r="K5" s="172">
        <v>10</v>
      </c>
      <c r="L5" s="173"/>
      <c r="M5" s="151">
        <v>10</v>
      </c>
      <c r="N5" s="151">
        <v>10</v>
      </c>
      <c r="O5" s="172">
        <v>10</v>
      </c>
      <c r="P5" s="173"/>
      <c r="Q5" s="172">
        <v>10</v>
      </c>
      <c r="R5" s="183"/>
      <c r="S5" s="183"/>
      <c r="T5" s="183"/>
      <c r="U5" s="173"/>
      <c r="V5" s="184">
        <v>6</v>
      </c>
      <c r="W5" s="81"/>
      <c r="X5" s="75"/>
      <c r="Y5" s="75"/>
      <c r="Z5" s="96"/>
      <c r="AA5" s="96"/>
      <c r="AB5" s="75"/>
      <c r="AC5" s="75"/>
      <c r="AD5" s="75"/>
      <c r="AE5" s="75"/>
      <c r="AF5" s="75"/>
      <c r="AG5" s="75"/>
      <c r="AH5" s="75"/>
      <c r="AI5" s="75"/>
      <c r="AJ5" s="81"/>
      <c r="AK5" s="75"/>
      <c r="AL5" s="75"/>
    </row>
    <row r="6" spans="1:38" ht="30.75" customHeight="1" x14ac:dyDescent="0.25">
      <c r="A6" s="75"/>
      <c r="B6" s="75"/>
      <c r="C6" s="50"/>
      <c r="D6" s="50"/>
      <c r="E6" s="169"/>
      <c r="F6" s="170"/>
      <c r="G6" s="171"/>
      <c r="H6" s="150" t="s">
        <v>100</v>
      </c>
      <c r="I6" s="174" t="s">
        <v>101</v>
      </c>
      <c r="J6" s="175"/>
      <c r="K6" s="176" t="s">
        <v>102</v>
      </c>
      <c r="L6" s="177"/>
      <c r="M6" s="156" t="s">
        <v>103</v>
      </c>
      <c r="N6" s="156" t="s">
        <v>104</v>
      </c>
      <c r="O6" s="178" t="s">
        <v>105</v>
      </c>
      <c r="P6" s="179"/>
      <c r="Q6" s="180" t="s">
        <v>106</v>
      </c>
      <c r="R6" s="181"/>
      <c r="S6" s="181"/>
      <c r="T6" s="181"/>
      <c r="U6" s="182"/>
      <c r="V6" s="185"/>
      <c r="W6" s="81"/>
      <c r="X6" s="75"/>
      <c r="Y6" s="75"/>
      <c r="Z6" s="96"/>
      <c r="AA6" s="96"/>
      <c r="AB6" s="75"/>
      <c r="AC6" s="75"/>
      <c r="AD6" s="75"/>
      <c r="AE6" s="75"/>
      <c r="AF6" s="75"/>
      <c r="AG6" s="75"/>
      <c r="AH6" s="75"/>
      <c r="AI6" s="75"/>
      <c r="AJ6" s="81"/>
      <c r="AK6" s="75"/>
      <c r="AL6" s="75"/>
    </row>
    <row r="7" spans="1:38" s="1" customFormat="1" ht="87" customHeight="1" x14ac:dyDescent="0.25">
      <c r="A7" s="77"/>
      <c r="B7" s="138"/>
      <c r="C7" s="32" t="s">
        <v>10</v>
      </c>
      <c r="D7" s="33" t="s">
        <v>82</v>
      </c>
      <c r="E7" s="86" t="s">
        <v>11</v>
      </c>
      <c r="F7" s="34" t="s">
        <v>12</v>
      </c>
      <c r="G7" s="86" t="s">
        <v>13</v>
      </c>
      <c r="H7" s="146" t="s">
        <v>107</v>
      </c>
      <c r="I7" s="145" t="s">
        <v>108</v>
      </c>
      <c r="J7" s="145" t="s">
        <v>109</v>
      </c>
      <c r="K7" s="139" t="s">
        <v>110</v>
      </c>
      <c r="L7" s="139" t="s">
        <v>111</v>
      </c>
      <c r="M7" s="144" t="s">
        <v>112</v>
      </c>
      <c r="N7" s="144" t="s">
        <v>113</v>
      </c>
      <c r="O7" s="140" t="s">
        <v>114</v>
      </c>
      <c r="P7" s="141" t="s">
        <v>115</v>
      </c>
      <c r="Q7" s="142" t="s">
        <v>116</v>
      </c>
      <c r="R7" s="142" t="s">
        <v>117</v>
      </c>
      <c r="S7" s="142" t="s">
        <v>118</v>
      </c>
      <c r="T7" s="142" t="s">
        <v>119</v>
      </c>
      <c r="U7" s="142" t="s">
        <v>120</v>
      </c>
      <c r="V7" s="86" t="s">
        <v>15</v>
      </c>
      <c r="W7" s="77"/>
      <c r="X7" s="77"/>
      <c r="Y7" s="77"/>
      <c r="Z7" s="97"/>
      <c r="AA7" s="97"/>
      <c r="AB7" s="77"/>
      <c r="AC7" s="77"/>
      <c r="AD7" s="77"/>
      <c r="AE7" s="77"/>
      <c r="AF7" s="77"/>
      <c r="AG7" s="77"/>
      <c r="AH7" s="77"/>
      <c r="AI7" s="77"/>
      <c r="AJ7" s="94"/>
      <c r="AK7" s="77"/>
      <c r="AL7" s="77"/>
    </row>
    <row r="8" spans="1:38" x14ac:dyDescent="0.25">
      <c r="A8" s="75"/>
      <c r="B8" s="75"/>
      <c r="C8" s="35">
        <f>INDEX(Données!$F$2:$L$54,MATCH(F8,Données!$F$2:$F$54,0),2)</f>
        <v>43829</v>
      </c>
      <c r="D8" s="28" t="str">
        <f t="shared" ref="D8:D71" si="0">$E$4</f>
        <v>#6</v>
      </c>
      <c r="E8" s="5">
        <f>Données!G2</f>
        <v>43829</v>
      </c>
      <c r="F8" s="10" t="str">
        <f>INDEX(Données!$F$2:$L$54,MATCH('#6'!E8,Données!$G$2:$G$54,1),1)</f>
        <v>1</v>
      </c>
      <c r="G8" s="18" t="str">
        <f t="shared" ref="G8:G71" si="1">IF(AND($V$5=1),"PS-1",IF(AND($V$5=2),"PS-2",IF(AND($V$5=4),"PS-4",IF(AND($V$5=6),"S.O.",IF(AND($V$5=5),"")))))</f>
        <v>S.O.</v>
      </c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9"/>
      <c r="W8" s="75"/>
      <c r="X8" s="75"/>
      <c r="Y8" s="75"/>
      <c r="Z8" s="96">
        <f>SUM(Tableau17[[#This Row],[A-1]:[G-5]])</f>
        <v>0</v>
      </c>
      <c r="AA8" s="96" t="str">
        <f>IF(AND(Z8&gt;0,Tableau17[[#This Row],[CDS]]=""),"Oui","Non")</f>
        <v>Non</v>
      </c>
      <c r="AB8" s="75"/>
      <c r="AC8" s="75"/>
      <c r="AD8" s="75"/>
      <c r="AE8" s="75"/>
      <c r="AF8" s="75"/>
      <c r="AG8" s="75"/>
      <c r="AH8" s="75"/>
      <c r="AI8" s="75"/>
      <c r="AJ8" s="81"/>
      <c r="AK8" s="75"/>
      <c r="AL8" s="75"/>
    </row>
    <row r="9" spans="1:38" x14ac:dyDescent="0.25">
      <c r="A9" s="75"/>
      <c r="B9" s="75"/>
      <c r="C9" s="35">
        <f>INDEX(Données!$F$2:$L$54,MATCH(F9,Données!$F$2:$F$54,0),2)</f>
        <v>43829</v>
      </c>
      <c r="D9" s="29" t="str">
        <f t="shared" si="0"/>
        <v>#6</v>
      </c>
      <c r="E9" s="7">
        <f>Données!H2</f>
        <v>43830</v>
      </c>
      <c r="F9" s="6" t="str">
        <f>INDEX(Données!$F$2:$L$54,MATCH('#6'!E9,Données!$G$2:$G$54,1),1)</f>
        <v>1</v>
      </c>
      <c r="G9" s="18" t="str">
        <f t="shared" si="1"/>
        <v>S.O.</v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1"/>
      <c r="W9" s="75"/>
      <c r="X9" s="75"/>
      <c r="Y9" s="75"/>
      <c r="Z9" s="96">
        <f>SUM(Tableau17[[#This Row],[A-1]:[G-5]])</f>
        <v>0</v>
      </c>
      <c r="AA9" s="96" t="str">
        <f>IF(AND(Z9&gt;0,Tableau17[[#This Row],[CDS]]=""),"Oui","Non")</f>
        <v>Non</v>
      </c>
      <c r="AB9" s="75"/>
      <c r="AC9" s="75"/>
      <c r="AD9" s="75"/>
      <c r="AE9" s="75"/>
      <c r="AF9" s="75"/>
      <c r="AG9" s="75"/>
      <c r="AH9" s="75"/>
      <c r="AI9" s="75"/>
      <c r="AJ9" s="81"/>
      <c r="AK9" s="75"/>
      <c r="AL9" s="75"/>
    </row>
    <row r="10" spans="1:38" x14ac:dyDescent="0.25">
      <c r="A10" s="75"/>
      <c r="B10" s="75"/>
      <c r="C10" s="35">
        <f>INDEX(Données!$F$2:$L$54,MATCH(F10,Données!$F$2:$F$54,0),2)</f>
        <v>43829</v>
      </c>
      <c r="D10" s="29" t="str">
        <f t="shared" si="0"/>
        <v>#6</v>
      </c>
      <c r="E10" s="7">
        <f>Données!I2</f>
        <v>43831</v>
      </c>
      <c r="F10" s="6" t="str">
        <f>INDEX(Données!$F$2:$L$54,MATCH('#6'!E10,Données!$G$2:$G$54,1),1)</f>
        <v>1</v>
      </c>
      <c r="G10" s="18" t="str">
        <f t="shared" si="1"/>
        <v>S.O.</v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1"/>
      <c r="W10" s="75"/>
      <c r="X10" s="75"/>
      <c r="Y10" s="75"/>
      <c r="Z10" s="96">
        <f>SUM(Tableau17[[#This Row],[A-1]:[G-5]])</f>
        <v>0</v>
      </c>
      <c r="AA10" s="96" t="str">
        <f>IF(AND(Z10&gt;0,Tableau17[[#This Row],[CDS]]=""),"Oui","Non")</f>
        <v>Non</v>
      </c>
      <c r="AB10" s="75"/>
      <c r="AC10" s="75"/>
      <c r="AD10" s="75"/>
      <c r="AE10" s="75"/>
      <c r="AF10" s="75"/>
      <c r="AG10" s="75"/>
      <c r="AH10" s="75"/>
      <c r="AI10" s="75"/>
      <c r="AJ10" s="81"/>
      <c r="AK10" s="75"/>
      <c r="AL10" s="75"/>
    </row>
    <row r="11" spans="1:38" x14ac:dyDescent="0.25">
      <c r="A11" s="75"/>
      <c r="B11" s="75"/>
      <c r="C11" s="35">
        <f>INDEX(Données!$F$2:$L$54,MATCH(F11,Données!$F$2:$F$54,0),2)</f>
        <v>43829</v>
      </c>
      <c r="D11" s="29" t="str">
        <f t="shared" si="0"/>
        <v>#6</v>
      </c>
      <c r="E11" s="7">
        <f>Données!J2</f>
        <v>43832</v>
      </c>
      <c r="F11" s="6" t="str">
        <f>INDEX(Données!$F$2:$L$54,MATCH('#6'!E11,Données!$G$2:$G$54,1),1)</f>
        <v>1</v>
      </c>
      <c r="G11" s="18" t="str">
        <f t="shared" si="1"/>
        <v>S.O.</v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1"/>
      <c r="W11" s="75"/>
      <c r="X11" s="75"/>
      <c r="Y11" s="75"/>
      <c r="Z11" s="96">
        <f>SUM(Tableau17[[#This Row],[A-1]:[G-5]])</f>
        <v>0</v>
      </c>
      <c r="AA11" s="96" t="str">
        <f>IF(AND(Z11&gt;0,Tableau17[[#This Row],[CDS]]=""),"Oui","Non")</f>
        <v>Non</v>
      </c>
      <c r="AB11" s="75"/>
      <c r="AC11" s="75"/>
      <c r="AD11" s="75"/>
      <c r="AE11" s="75"/>
      <c r="AF11" s="75"/>
      <c r="AG11" s="75"/>
      <c r="AH11" s="75"/>
      <c r="AI11" s="75"/>
      <c r="AJ11" s="81"/>
      <c r="AK11" s="75"/>
      <c r="AL11" s="75"/>
    </row>
    <row r="12" spans="1:38" x14ac:dyDescent="0.25">
      <c r="A12" s="75"/>
      <c r="B12" s="75"/>
      <c r="C12" s="35">
        <f>INDEX(Données!$F$2:$L$54,MATCH(F12,Données!$F$2:$F$54,0),2)</f>
        <v>43829</v>
      </c>
      <c r="D12" s="29" t="str">
        <f t="shared" si="0"/>
        <v>#6</v>
      </c>
      <c r="E12" s="7">
        <f>Données!K2</f>
        <v>43833</v>
      </c>
      <c r="F12" s="6" t="str">
        <f>INDEX(Données!$F$2:$L$54,MATCH('#6'!E12,Données!$G$2:$G$54,1),1)</f>
        <v>1</v>
      </c>
      <c r="G12" s="18" t="str">
        <f t="shared" si="1"/>
        <v>S.O.</v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1"/>
      <c r="W12" s="75"/>
      <c r="X12" s="75"/>
      <c r="Y12" s="75"/>
      <c r="Z12" s="96">
        <f>SUM(Tableau17[[#This Row],[A-1]:[G-5]])</f>
        <v>0</v>
      </c>
      <c r="AA12" s="96" t="str">
        <f>IF(AND(Z12&gt;0,Tableau17[[#This Row],[CDS]]=""),"Oui","Non")</f>
        <v>Non</v>
      </c>
      <c r="AB12" s="75"/>
      <c r="AC12" s="75"/>
      <c r="AD12" s="75"/>
      <c r="AE12" s="75"/>
      <c r="AF12" s="75"/>
      <c r="AG12" s="75"/>
      <c r="AH12" s="75"/>
      <c r="AI12" s="75"/>
      <c r="AJ12" s="81"/>
      <c r="AK12" s="75"/>
      <c r="AL12" s="75"/>
    </row>
    <row r="13" spans="1:38" ht="15.75" thickBot="1" x14ac:dyDescent="0.3">
      <c r="A13" s="75"/>
      <c r="B13" s="75"/>
      <c r="C13" s="35">
        <f>INDEX(Données!$F$2:$L$54,MATCH(F13,Données!$F$2:$F$54,0),2)</f>
        <v>43829</v>
      </c>
      <c r="D13" s="29" t="str">
        <f t="shared" si="0"/>
        <v>#6</v>
      </c>
      <c r="E13" s="7">
        <f>Données!L2</f>
        <v>43834</v>
      </c>
      <c r="F13" s="6" t="str">
        <f>INDEX(Données!$F$2:$L$54,MATCH('#6'!E13,Données!$G$2:$G$54,1),1)</f>
        <v>1</v>
      </c>
      <c r="G13" s="18" t="str">
        <f t="shared" si="1"/>
        <v>S.O.</v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1"/>
      <c r="W13" s="75"/>
      <c r="X13" s="75"/>
      <c r="Y13" s="75"/>
      <c r="Z13" s="96">
        <f>SUM(Tableau17[[#This Row],[A-1]:[G-5]])</f>
        <v>0</v>
      </c>
      <c r="AA13" s="96" t="str">
        <f>IF(AND(Z13&gt;0,Tableau17[[#This Row],[CDS]]=""),"Oui","Non")</f>
        <v>Non</v>
      </c>
      <c r="AB13" s="75"/>
      <c r="AC13" s="75"/>
      <c r="AD13" s="75"/>
      <c r="AE13" s="75"/>
      <c r="AF13" s="75"/>
      <c r="AG13" s="75"/>
      <c r="AH13" s="75"/>
      <c r="AI13" s="75"/>
      <c r="AJ13" s="81"/>
      <c r="AK13" s="75"/>
      <c r="AL13" s="75"/>
    </row>
    <row r="14" spans="1:38" ht="15.75" hidden="1" thickBot="1" x14ac:dyDescent="0.3">
      <c r="A14" s="75"/>
      <c r="B14" s="75"/>
      <c r="C14" s="35">
        <f>INDEX(Données!$F$2:$L$54,MATCH(F14,Données!$F$2:$F$54,0),2)</f>
        <v>43836</v>
      </c>
      <c r="D14" s="29" t="str">
        <f t="shared" si="0"/>
        <v>#6</v>
      </c>
      <c r="E14" s="7">
        <f>Données!G3</f>
        <v>43836</v>
      </c>
      <c r="F14" s="6" t="str">
        <f>INDEX(Données!$F$2:$L$54,MATCH('#6'!E14,Données!$G$2:$G$54,1),1)</f>
        <v>2</v>
      </c>
      <c r="G14" s="18" t="str">
        <f t="shared" si="1"/>
        <v>S.O.</v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1"/>
      <c r="W14" s="75"/>
      <c r="X14" s="75"/>
      <c r="Y14" s="75"/>
      <c r="Z14" s="96">
        <f>SUM(Tableau17[[#This Row],[A-1]:[G-5]])</f>
        <v>0</v>
      </c>
      <c r="AA14" s="96" t="str">
        <f>IF(AND(Z14&gt;0,Tableau17[[#This Row],[CDS]]=""),"Oui","Non")</f>
        <v>Non</v>
      </c>
      <c r="AB14" s="75"/>
      <c r="AC14" s="75"/>
      <c r="AD14" s="75"/>
      <c r="AE14" s="75"/>
      <c r="AF14" s="75"/>
      <c r="AG14" s="75"/>
      <c r="AH14" s="75"/>
      <c r="AI14" s="75"/>
      <c r="AJ14" s="81"/>
      <c r="AK14" s="75"/>
      <c r="AL14" s="75"/>
    </row>
    <row r="15" spans="1:38" ht="15.75" hidden="1" thickBot="1" x14ac:dyDescent="0.3">
      <c r="A15" s="75"/>
      <c r="B15" s="75"/>
      <c r="C15" s="35">
        <f>INDEX(Données!$F$2:$L$54,MATCH(F15,Données!$F$2:$F$54,0),2)</f>
        <v>43836</v>
      </c>
      <c r="D15" s="29" t="str">
        <f t="shared" si="0"/>
        <v>#6</v>
      </c>
      <c r="E15" s="7">
        <f>Données!H3</f>
        <v>43837</v>
      </c>
      <c r="F15" s="6" t="str">
        <f>INDEX(Données!$F$2:$L$54,MATCH('#6'!E15,Données!$G$2:$G$54,1),1)</f>
        <v>2</v>
      </c>
      <c r="G15" s="18" t="str">
        <f t="shared" si="1"/>
        <v>S.O.</v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1"/>
      <c r="W15" s="75"/>
      <c r="X15" s="75"/>
      <c r="Y15" s="75"/>
      <c r="Z15" s="96">
        <f>SUM(Tableau17[[#This Row],[A-1]:[G-5]])</f>
        <v>0</v>
      </c>
      <c r="AA15" s="96" t="str">
        <f>IF(AND(Z15&gt;0,Tableau17[[#This Row],[CDS]]=""),"Oui","Non")</f>
        <v>Non</v>
      </c>
      <c r="AB15" s="75"/>
      <c r="AC15" s="75"/>
      <c r="AD15" s="75"/>
      <c r="AE15" s="75"/>
      <c r="AF15" s="75"/>
      <c r="AG15" s="75"/>
      <c r="AH15" s="75"/>
      <c r="AI15" s="75"/>
      <c r="AJ15" s="81"/>
      <c r="AK15" s="75"/>
      <c r="AL15" s="75"/>
    </row>
    <row r="16" spans="1:38" ht="15.75" hidden="1" thickBot="1" x14ac:dyDescent="0.3">
      <c r="A16" s="75"/>
      <c r="B16" s="75"/>
      <c r="C16" s="35">
        <f>INDEX(Données!$F$2:$L$54,MATCH(F16,Données!$F$2:$F$54,0),2)</f>
        <v>43836</v>
      </c>
      <c r="D16" s="29" t="str">
        <f t="shared" si="0"/>
        <v>#6</v>
      </c>
      <c r="E16" s="7">
        <f>Données!I3</f>
        <v>43838</v>
      </c>
      <c r="F16" s="6" t="str">
        <f>INDEX(Données!$F$2:$L$54,MATCH('#6'!E16,Données!$G$2:$G$54,1),1)</f>
        <v>2</v>
      </c>
      <c r="G16" s="18" t="str">
        <f t="shared" si="1"/>
        <v>S.O.</v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1"/>
      <c r="W16" s="75"/>
      <c r="X16" s="75"/>
      <c r="Y16" s="75"/>
      <c r="Z16" s="96">
        <f>SUM(Tableau17[[#This Row],[A-1]:[G-5]])</f>
        <v>0</v>
      </c>
      <c r="AA16" s="96" t="str">
        <f>IF(AND(Z16&gt;0,Tableau17[[#This Row],[CDS]]=""),"Oui","Non")</f>
        <v>Non</v>
      </c>
      <c r="AB16" s="75"/>
      <c r="AC16" s="75"/>
      <c r="AD16" s="75"/>
      <c r="AE16" s="75"/>
      <c r="AF16" s="75"/>
      <c r="AG16" s="75"/>
      <c r="AH16" s="75"/>
      <c r="AI16" s="75"/>
      <c r="AJ16" s="81"/>
      <c r="AK16" s="75"/>
      <c r="AL16" s="75"/>
    </row>
    <row r="17" spans="1:38" ht="15.75" hidden="1" thickBot="1" x14ac:dyDescent="0.3">
      <c r="A17" s="75"/>
      <c r="B17" s="75"/>
      <c r="C17" s="35">
        <f>INDEX(Données!$F$2:$L$54,MATCH(F17,Données!$F$2:$F$54,0),2)</f>
        <v>43836</v>
      </c>
      <c r="D17" s="29" t="str">
        <f t="shared" si="0"/>
        <v>#6</v>
      </c>
      <c r="E17" s="7">
        <f>Données!J3</f>
        <v>43839</v>
      </c>
      <c r="F17" s="6" t="str">
        <f>INDEX(Données!$F$2:$L$54,MATCH('#6'!E17,Données!$G$2:$G$54,1),1)</f>
        <v>2</v>
      </c>
      <c r="G17" s="18" t="str">
        <f t="shared" si="1"/>
        <v>S.O.</v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1"/>
      <c r="W17" s="75"/>
      <c r="X17" s="75"/>
      <c r="Y17" s="75"/>
      <c r="Z17" s="96">
        <f>SUM(Tableau17[[#This Row],[A-1]:[G-5]])</f>
        <v>0</v>
      </c>
      <c r="AA17" s="96" t="str">
        <f>IF(AND(Z17&gt;0,Tableau17[[#This Row],[CDS]]=""),"Oui","Non")</f>
        <v>Non</v>
      </c>
      <c r="AB17" s="75"/>
      <c r="AC17" s="75"/>
      <c r="AD17" s="75"/>
      <c r="AE17" s="75"/>
      <c r="AF17" s="75"/>
      <c r="AG17" s="75"/>
      <c r="AH17" s="75"/>
      <c r="AI17" s="75"/>
      <c r="AJ17" s="81"/>
      <c r="AK17" s="75"/>
      <c r="AL17" s="75"/>
    </row>
    <row r="18" spans="1:38" ht="15.75" hidden="1" thickBot="1" x14ac:dyDescent="0.3">
      <c r="A18" s="75"/>
      <c r="B18" s="75"/>
      <c r="C18" s="35">
        <f>INDEX(Données!$F$2:$L$54,MATCH(F18,Données!$F$2:$F$54,0),2)</f>
        <v>43836</v>
      </c>
      <c r="D18" s="29" t="str">
        <f t="shared" si="0"/>
        <v>#6</v>
      </c>
      <c r="E18" s="7">
        <f>Données!K3</f>
        <v>43840</v>
      </c>
      <c r="F18" s="6" t="str">
        <f>INDEX(Données!$F$2:$L$54,MATCH('#6'!E18,Données!$G$2:$G$54,1),1)</f>
        <v>2</v>
      </c>
      <c r="G18" s="18" t="str">
        <f t="shared" si="1"/>
        <v>S.O.</v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1"/>
      <c r="W18" s="75"/>
      <c r="X18" s="75"/>
      <c r="Y18" s="75"/>
      <c r="Z18" s="96">
        <f>SUM(Tableau17[[#This Row],[A-1]:[G-5]])</f>
        <v>0</v>
      </c>
      <c r="AA18" s="96" t="str">
        <f>IF(AND(Z18&gt;0,Tableau17[[#This Row],[CDS]]=""),"Oui","Non")</f>
        <v>Non</v>
      </c>
      <c r="AB18" s="75"/>
      <c r="AC18" s="75"/>
      <c r="AD18" s="75"/>
      <c r="AE18" s="75"/>
      <c r="AF18" s="75"/>
      <c r="AG18" s="75"/>
      <c r="AH18" s="75"/>
      <c r="AI18" s="75"/>
      <c r="AJ18" s="81"/>
      <c r="AK18" s="75"/>
      <c r="AL18" s="75"/>
    </row>
    <row r="19" spans="1:38" ht="15.75" hidden="1" thickBot="1" x14ac:dyDescent="0.3">
      <c r="A19" s="75"/>
      <c r="B19" s="75"/>
      <c r="C19" s="35">
        <f>INDEX(Données!$F$2:$L$54,MATCH(F19,Données!$F$2:$F$54,0),2)</f>
        <v>43836</v>
      </c>
      <c r="D19" s="29" t="str">
        <f t="shared" si="0"/>
        <v>#6</v>
      </c>
      <c r="E19" s="7">
        <f>Données!L3</f>
        <v>43841</v>
      </c>
      <c r="F19" s="6" t="str">
        <f>INDEX(Données!$F$2:$L$54,MATCH('#6'!E19,Données!$G$2:$G$54,1),1)</f>
        <v>2</v>
      </c>
      <c r="G19" s="18" t="str">
        <f t="shared" si="1"/>
        <v>S.O.</v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1"/>
      <c r="W19" s="75"/>
      <c r="X19" s="75"/>
      <c r="Y19" s="75"/>
      <c r="Z19" s="96">
        <f>SUM(Tableau17[[#This Row],[A-1]:[G-5]])</f>
        <v>0</v>
      </c>
      <c r="AA19" s="96" t="str">
        <f>IF(AND(Z19&gt;0,Tableau17[[#This Row],[CDS]]=""),"Oui","Non")</f>
        <v>Non</v>
      </c>
      <c r="AB19" s="75"/>
      <c r="AC19" s="75"/>
      <c r="AD19" s="75"/>
      <c r="AE19" s="75"/>
      <c r="AF19" s="75"/>
      <c r="AG19" s="75"/>
      <c r="AH19" s="75"/>
      <c r="AI19" s="75"/>
      <c r="AJ19" s="81"/>
      <c r="AK19" s="75"/>
      <c r="AL19" s="75"/>
    </row>
    <row r="20" spans="1:38" ht="15.75" hidden="1" thickBot="1" x14ac:dyDescent="0.3">
      <c r="A20" s="75"/>
      <c r="B20" s="75"/>
      <c r="C20" s="35">
        <f>INDEX(Données!$F$2:$L$54,MATCH(F20,Données!$F$2:$F$54,0),2)</f>
        <v>43843</v>
      </c>
      <c r="D20" s="29" t="str">
        <f t="shared" si="0"/>
        <v>#6</v>
      </c>
      <c r="E20" s="7">
        <f>Données!G4</f>
        <v>43843</v>
      </c>
      <c r="F20" s="6" t="str">
        <f>INDEX(Données!$F$2:$L$54,MATCH('#6'!E20,Données!$G$2:$G$54,1),1)</f>
        <v>3</v>
      </c>
      <c r="G20" s="18" t="str">
        <f t="shared" si="1"/>
        <v>S.O.</v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1"/>
      <c r="W20" s="75"/>
      <c r="X20" s="75"/>
      <c r="Y20" s="75"/>
      <c r="Z20" s="96">
        <f>SUM(Tableau17[[#This Row],[A-1]:[G-5]])</f>
        <v>0</v>
      </c>
      <c r="AA20" s="96" t="str">
        <f>IF(AND(Z20&gt;0,Tableau17[[#This Row],[CDS]]=""),"Oui","Non")</f>
        <v>Non</v>
      </c>
      <c r="AB20" s="75"/>
      <c r="AC20" s="75"/>
      <c r="AD20" s="75"/>
      <c r="AE20" s="75"/>
      <c r="AF20" s="75"/>
      <c r="AG20" s="75"/>
      <c r="AH20" s="75"/>
      <c r="AI20" s="75"/>
      <c r="AJ20" s="81"/>
      <c r="AK20" s="75"/>
      <c r="AL20" s="75"/>
    </row>
    <row r="21" spans="1:38" ht="15.75" hidden="1" thickBot="1" x14ac:dyDescent="0.3">
      <c r="A21" s="75"/>
      <c r="B21" s="75"/>
      <c r="C21" s="35">
        <f>INDEX(Données!$F$2:$L$54,MATCH(F21,Données!$F$2:$F$54,0),2)</f>
        <v>43843</v>
      </c>
      <c r="D21" s="29" t="str">
        <f t="shared" si="0"/>
        <v>#6</v>
      </c>
      <c r="E21" s="7">
        <f>Données!H4</f>
        <v>43844</v>
      </c>
      <c r="F21" s="6" t="str">
        <f>INDEX(Données!$F$2:$L$54,MATCH('#6'!E21,Données!$G$2:$G$54,1),1)</f>
        <v>3</v>
      </c>
      <c r="G21" s="18" t="str">
        <f t="shared" si="1"/>
        <v>S.O.</v>
      </c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1"/>
      <c r="W21" s="75"/>
      <c r="X21" s="75"/>
      <c r="Y21" s="75"/>
      <c r="Z21" s="96">
        <f>SUM(Tableau17[[#This Row],[A-1]:[G-5]])</f>
        <v>0</v>
      </c>
      <c r="AA21" s="96" t="str">
        <f>IF(AND(Z21&gt;0,Tableau17[[#This Row],[CDS]]=""),"Oui","Non")</f>
        <v>Non</v>
      </c>
      <c r="AB21" s="75"/>
      <c r="AC21" s="75"/>
      <c r="AD21" s="75"/>
      <c r="AE21" s="75"/>
      <c r="AF21" s="75"/>
      <c r="AG21" s="75"/>
      <c r="AH21" s="75"/>
      <c r="AI21" s="75"/>
      <c r="AJ21" s="81"/>
      <c r="AK21" s="75"/>
      <c r="AL21" s="75"/>
    </row>
    <row r="22" spans="1:38" ht="15.75" hidden="1" thickBot="1" x14ac:dyDescent="0.3">
      <c r="A22" s="75"/>
      <c r="B22" s="75"/>
      <c r="C22" s="35">
        <f>INDEX(Données!$F$2:$L$54,MATCH(F22,Données!$F$2:$F$54,0),2)</f>
        <v>43843</v>
      </c>
      <c r="D22" s="29" t="str">
        <f t="shared" si="0"/>
        <v>#6</v>
      </c>
      <c r="E22" s="7">
        <f>Données!I4</f>
        <v>43845</v>
      </c>
      <c r="F22" s="6" t="str">
        <f>INDEX(Données!$F$2:$L$54,MATCH('#6'!E22,Données!$G$2:$G$54,1),1)</f>
        <v>3</v>
      </c>
      <c r="G22" s="18" t="str">
        <f t="shared" si="1"/>
        <v>S.O.</v>
      </c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1"/>
      <c r="W22" s="75"/>
      <c r="X22" s="75"/>
      <c r="Y22" s="75"/>
      <c r="Z22" s="96">
        <f>SUM(Tableau17[[#This Row],[A-1]:[G-5]])</f>
        <v>0</v>
      </c>
      <c r="AA22" s="96" t="str">
        <f>IF(AND(Z22&gt;0,Tableau17[[#This Row],[CDS]]=""),"Oui","Non")</f>
        <v>Non</v>
      </c>
      <c r="AB22" s="75"/>
      <c r="AC22" s="75"/>
      <c r="AD22" s="75"/>
      <c r="AE22" s="75"/>
      <c r="AF22" s="75"/>
      <c r="AG22" s="75"/>
      <c r="AH22" s="75"/>
      <c r="AI22" s="75"/>
      <c r="AJ22" s="81"/>
      <c r="AK22" s="75"/>
      <c r="AL22" s="75"/>
    </row>
    <row r="23" spans="1:38" ht="15.75" hidden="1" thickBot="1" x14ac:dyDescent="0.3">
      <c r="A23" s="75"/>
      <c r="B23" s="75"/>
      <c r="C23" s="35">
        <f>INDEX(Données!$F$2:$L$54,MATCH(F23,Données!$F$2:$F$54,0),2)</f>
        <v>43843</v>
      </c>
      <c r="D23" s="29" t="str">
        <f t="shared" si="0"/>
        <v>#6</v>
      </c>
      <c r="E23" s="7">
        <f>Données!J4</f>
        <v>43846</v>
      </c>
      <c r="F23" s="6" t="str">
        <f>INDEX(Données!$F$2:$L$54,MATCH('#6'!E23,Données!$G$2:$G$54,1),1)</f>
        <v>3</v>
      </c>
      <c r="G23" s="18" t="str">
        <f t="shared" si="1"/>
        <v>S.O.</v>
      </c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1"/>
      <c r="W23" s="75"/>
      <c r="X23" s="75"/>
      <c r="Y23" s="75"/>
      <c r="Z23" s="96">
        <f>SUM(Tableau17[[#This Row],[A-1]:[G-5]])</f>
        <v>0</v>
      </c>
      <c r="AA23" s="96" t="str">
        <f>IF(AND(Z23&gt;0,Tableau17[[#This Row],[CDS]]=""),"Oui","Non")</f>
        <v>Non</v>
      </c>
      <c r="AB23" s="75"/>
      <c r="AC23" s="75"/>
      <c r="AD23" s="75"/>
      <c r="AE23" s="75"/>
      <c r="AF23" s="75"/>
      <c r="AG23" s="75"/>
      <c r="AH23" s="75"/>
      <c r="AI23" s="75"/>
      <c r="AJ23" s="81"/>
      <c r="AK23" s="75"/>
      <c r="AL23" s="75"/>
    </row>
    <row r="24" spans="1:38" ht="15.75" hidden="1" thickBot="1" x14ac:dyDescent="0.3">
      <c r="A24" s="75"/>
      <c r="B24" s="75"/>
      <c r="C24" s="35">
        <f>INDEX(Données!$F$2:$L$54,MATCH(F24,Données!$F$2:$F$54,0),2)</f>
        <v>43843</v>
      </c>
      <c r="D24" s="29" t="str">
        <f t="shared" si="0"/>
        <v>#6</v>
      </c>
      <c r="E24" s="7">
        <f>Données!K4</f>
        <v>43847</v>
      </c>
      <c r="F24" s="6" t="str">
        <f>INDEX(Données!$F$2:$L$54,MATCH('#6'!E24,Données!$G$2:$G$54,1),1)</f>
        <v>3</v>
      </c>
      <c r="G24" s="18" t="str">
        <f t="shared" si="1"/>
        <v>S.O.</v>
      </c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1"/>
      <c r="W24" s="75"/>
      <c r="X24" s="75"/>
      <c r="Y24" s="75"/>
      <c r="Z24" s="96">
        <f>SUM(Tableau17[[#This Row],[A-1]:[G-5]])</f>
        <v>0</v>
      </c>
      <c r="AA24" s="96" t="str">
        <f>IF(AND(Z24&gt;0,Tableau17[[#This Row],[CDS]]=""),"Oui","Non")</f>
        <v>Non</v>
      </c>
      <c r="AB24" s="75"/>
      <c r="AC24" s="75"/>
      <c r="AD24" s="75"/>
      <c r="AE24" s="75"/>
      <c r="AF24" s="75"/>
      <c r="AG24" s="75"/>
      <c r="AH24" s="75"/>
      <c r="AI24" s="75"/>
      <c r="AJ24" s="81"/>
      <c r="AK24" s="75"/>
      <c r="AL24" s="75"/>
    </row>
    <row r="25" spans="1:38" ht="15.75" hidden="1" thickBot="1" x14ac:dyDescent="0.3">
      <c r="A25" s="75"/>
      <c r="B25" s="75"/>
      <c r="C25" s="35">
        <f>INDEX(Données!$F$2:$L$54,MATCH(F25,Données!$F$2:$F$54,0),2)</f>
        <v>43843</v>
      </c>
      <c r="D25" s="29" t="str">
        <f t="shared" si="0"/>
        <v>#6</v>
      </c>
      <c r="E25" s="7">
        <f>Données!L4</f>
        <v>43848</v>
      </c>
      <c r="F25" s="6" t="str">
        <f>INDEX(Données!$F$2:$L$54,MATCH('#6'!E25,Données!$G$2:$G$54,1),1)</f>
        <v>3</v>
      </c>
      <c r="G25" s="18" t="str">
        <f t="shared" si="1"/>
        <v>S.O.</v>
      </c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1"/>
      <c r="W25" s="75"/>
      <c r="X25" s="75"/>
      <c r="Y25" s="75"/>
      <c r="Z25" s="96">
        <f>SUM(Tableau17[[#This Row],[A-1]:[G-5]])</f>
        <v>0</v>
      </c>
      <c r="AA25" s="96" t="str">
        <f>IF(AND(Z25&gt;0,Tableau17[[#This Row],[CDS]]=""),"Oui","Non")</f>
        <v>Non</v>
      </c>
      <c r="AB25" s="75"/>
      <c r="AC25" s="75"/>
      <c r="AD25" s="75"/>
      <c r="AE25" s="75"/>
      <c r="AF25" s="75"/>
      <c r="AG25" s="75"/>
      <c r="AH25" s="75"/>
      <c r="AI25" s="75"/>
      <c r="AJ25" s="81"/>
      <c r="AK25" s="75"/>
      <c r="AL25" s="75"/>
    </row>
    <row r="26" spans="1:38" ht="15.75" hidden="1" thickBot="1" x14ac:dyDescent="0.3">
      <c r="A26" s="75"/>
      <c r="B26" s="75"/>
      <c r="C26" s="35">
        <f>INDEX(Données!$F$2:$L$54,MATCH(F26,Données!$F$2:$F$54,0),2)</f>
        <v>43850</v>
      </c>
      <c r="D26" s="29" t="str">
        <f t="shared" si="0"/>
        <v>#6</v>
      </c>
      <c r="E26" s="7">
        <f>Données!G5</f>
        <v>43850</v>
      </c>
      <c r="F26" s="6" t="str">
        <f>INDEX(Données!$F$2:$L$54,MATCH('#6'!E26,Données!$G$2:$G$54,1),1)</f>
        <v>4</v>
      </c>
      <c r="G26" s="18" t="str">
        <f t="shared" si="1"/>
        <v>S.O.</v>
      </c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1"/>
      <c r="W26" s="75"/>
      <c r="X26" s="75"/>
      <c r="Y26" s="75"/>
      <c r="Z26" s="96">
        <f>SUM(Tableau17[[#This Row],[A-1]:[G-5]])</f>
        <v>0</v>
      </c>
      <c r="AA26" s="96" t="str">
        <f>IF(AND(Z26&gt;0,Tableau17[[#This Row],[CDS]]=""),"Oui","Non")</f>
        <v>Non</v>
      </c>
      <c r="AB26" s="75"/>
      <c r="AC26" s="75"/>
      <c r="AD26" s="75"/>
      <c r="AE26" s="75"/>
      <c r="AF26" s="75"/>
      <c r="AG26" s="75"/>
      <c r="AH26" s="75"/>
      <c r="AI26" s="75"/>
      <c r="AJ26" s="81"/>
      <c r="AK26" s="75"/>
      <c r="AL26" s="75"/>
    </row>
    <row r="27" spans="1:38" ht="15.75" hidden="1" thickBot="1" x14ac:dyDescent="0.3">
      <c r="A27" s="75"/>
      <c r="B27" s="75"/>
      <c r="C27" s="35">
        <f>INDEX(Données!$F$2:$L$54,MATCH(F27,Données!$F$2:$F$54,0),2)</f>
        <v>43850</v>
      </c>
      <c r="D27" s="29" t="str">
        <f t="shared" si="0"/>
        <v>#6</v>
      </c>
      <c r="E27" s="7">
        <f>Données!H5</f>
        <v>43851</v>
      </c>
      <c r="F27" s="6" t="str">
        <f>INDEX(Données!$F$2:$L$54,MATCH('#6'!E27,Données!$G$2:$G$54,1),1)</f>
        <v>4</v>
      </c>
      <c r="G27" s="18" t="str">
        <f t="shared" si="1"/>
        <v>S.O.</v>
      </c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1"/>
      <c r="W27" s="75"/>
      <c r="X27" s="75"/>
      <c r="Y27" s="75"/>
      <c r="Z27" s="96">
        <f>SUM(Tableau17[[#This Row],[A-1]:[G-5]])</f>
        <v>0</v>
      </c>
      <c r="AA27" s="96" t="str">
        <f>IF(AND(Z27&gt;0,Tableau17[[#This Row],[CDS]]=""),"Oui","Non")</f>
        <v>Non</v>
      </c>
      <c r="AB27" s="75"/>
      <c r="AC27" s="75"/>
      <c r="AD27" s="75"/>
      <c r="AE27" s="75"/>
      <c r="AF27" s="75"/>
      <c r="AG27" s="75"/>
      <c r="AH27" s="75"/>
      <c r="AI27" s="75"/>
      <c r="AJ27" s="81"/>
      <c r="AK27" s="75"/>
      <c r="AL27" s="75"/>
    </row>
    <row r="28" spans="1:38" ht="15.75" hidden="1" thickBot="1" x14ac:dyDescent="0.3">
      <c r="A28" s="75"/>
      <c r="B28" s="75"/>
      <c r="C28" s="35">
        <f>INDEX(Données!$F$2:$L$54,MATCH(F28,Données!$F$2:$F$54,0),2)</f>
        <v>43850</v>
      </c>
      <c r="D28" s="29" t="str">
        <f t="shared" si="0"/>
        <v>#6</v>
      </c>
      <c r="E28" s="7">
        <f>Données!I5</f>
        <v>43852</v>
      </c>
      <c r="F28" s="6" t="str">
        <f>INDEX(Données!$F$2:$L$54,MATCH('#6'!E28,Données!$G$2:$G$54,1),1)</f>
        <v>4</v>
      </c>
      <c r="G28" s="18" t="str">
        <f t="shared" si="1"/>
        <v>S.O.</v>
      </c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1"/>
      <c r="W28" s="75"/>
      <c r="X28" s="75"/>
      <c r="Y28" s="75"/>
      <c r="Z28" s="96">
        <f>SUM(Tableau17[[#This Row],[A-1]:[G-5]])</f>
        <v>0</v>
      </c>
      <c r="AA28" s="96" t="str">
        <f>IF(AND(Z28&gt;0,Tableau17[[#This Row],[CDS]]=""),"Oui","Non")</f>
        <v>Non</v>
      </c>
      <c r="AB28" s="75"/>
      <c r="AC28" s="75"/>
      <c r="AD28" s="75"/>
      <c r="AE28" s="75"/>
      <c r="AF28" s="75"/>
      <c r="AG28" s="75"/>
      <c r="AH28" s="75"/>
      <c r="AI28" s="75"/>
      <c r="AJ28" s="81"/>
      <c r="AK28" s="75"/>
      <c r="AL28" s="75"/>
    </row>
    <row r="29" spans="1:38" ht="15.75" hidden="1" thickBot="1" x14ac:dyDescent="0.3">
      <c r="A29" s="75"/>
      <c r="B29" s="75"/>
      <c r="C29" s="35">
        <f>INDEX(Données!$F$2:$L$54,MATCH(F29,Données!$F$2:$F$54,0),2)</f>
        <v>43850</v>
      </c>
      <c r="D29" s="29" t="str">
        <f t="shared" si="0"/>
        <v>#6</v>
      </c>
      <c r="E29" s="7">
        <f>Données!J5</f>
        <v>43853</v>
      </c>
      <c r="F29" s="6" t="str">
        <f>INDEX(Données!$F$2:$L$54,MATCH('#6'!E29,Données!$G$2:$G$54,1),1)</f>
        <v>4</v>
      </c>
      <c r="G29" s="18" t="str">
        <f t="shared" si="1"/>
        <v>S.O.</v>
      </c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1"/>
      <c r="W29" s="75"/>
      <c r="X29" s="75"/>
      <c r="Y29" s="75"/>
      <c r="Z29" s="96">
        <f>SUM(Tableau17[[#This Row],[A-1]:[G-5]])</f>
        <v>0</v>
      </c>
      <c r="AA29" s="96" t="str">
        <f>IF(AND(Z29&gt;0,Tableau17[[#This Row],[CDS]]=""),"Oui","Non")</f>
        <v>Non</v>
      </c>
      <c r="AB29" s="75"/>
      <c r="AC29" s="75"/>
      <c r="AD29" s="75"/>
      <c r="AE29" s="75"/>
      <c r="AF29" s="75"/>
      <c r="AG29" s="75"/>
      <c r="AH29" s="75"/>
      <c r="AI29" s="75"/>
      <c r="AJ29" s="81"/>
      <c r="AK29" s="75"/>
      <c r="AL29" s="75"/>
    </row>
    <row r="30" spans="1:38" ht="15.75" hidden="1" thickBot="1" x14ac:dyDescent="0.3">
      <c r="A30" s="75"/>
      <c r="B30" s="75"/>
      <c r="C30" s="35">
        <f>INDEX(Données!$F$2:$L$54,MATCH(F30,Données!$F$2:$F$54,0),2)</f>
        <v>43850</v>
      </c>
      <c r="D30" s="29" t="str">
        <f t="shared" si="0"/>
        <v>#6</v>
      </c>
      <c r="E30" s="7">
        <f>Données!K5</f>
        <v>43854</v>
      </c>
      <c r="F30" s="6" t="str">
        <f>INDEX(Données!$F$2:$L$54,MATCH('#6'!E30,Données!$G$2:$G$54,1),1)</f>
        <v>4</v>
      </c>
      <c r="G30" s="18" t="str">
        <f t="shared" si="1"/>
        <v>S.O.</v>
      </c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1"/>
      <c r="W30" s="75"/>
      <c r="X30" s="75"/>
      <c r="Y30" s="75"/>
      <c r="Z30" s="96">
        <f>SUM(Tableau17[[#This Row],[A-1]:[G-5]])</f>
        <v>0</v>
      </c>
      <c r="AA30" s="96" t="str">
        <f>IF(AND(Z30&gt;0,Tableau17[[#This Row],[CDS]]=""),"Oui","Non")</f>
        <v>Non</v>
      </c>
      <c r="AB30" s="75"/>
      <c r="AC30" s="75"/>
      <c r="AD30" s="75"/>
      <c r="AE30" s="75"/>
      <c r="AF30" s="75"/>
      <c r="AG30" s="75"/>
      <c r="AH30" s="75"/>
      <c r="AI30" s="75"/>
      <c r="AJ30" s="81"/>
      <c r="AK30" s="75"/>
      <c r="AL30" s="75"/>
    </row>
    <row r="31" spans="1:38" ht="15.75" hidden="1" thickBot="1" x14ac:dyDescent="0.3">
      <c r="A31" s="75"/>
      <c r="B31" s="75"/>
      <c r="C31" s="35">
        <f>INDEX(Données!$F$2:$L$54,MATCH(F31,Données!$F$2:$F$54,0),2)</f>
        <v>43850</v>
      </c>
      <c r="D31" s="29" t="str">
        <f t="shared" si="0"/>
        <v>#6</v>
      </c>
      <c r="E31" s="7">
        <f>Données!L5</f>
        <v>43855</v>
      </c>
      <c r="F31" s="6" t="str">
        <f>INDEX(Données!$F$2:$L$54,MATCH('#6'!E31,Données!$G$2:$G$54,1),1)</f>
        <v>4</v>
      </c>
      <c r="G31" s="18" t="str">
        <f t="shared" si="1"/>
        <v>S.O.</v>
      </c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1"/>
      <c r="W31" s="75"/>
      <c r="X31" s="75"/>
      <c r="Y31" s="75"/>
      <c r="Z31" s="96">
        <f>SUM(Tableau17[[#This Row],[A-1]:[G-5]])</f>
        <v>0</v>
      </c>
      <c r="AA31" s="96" t="str">
        <f>IF(AND(Z31&gt;0,Tableau17[[#This Row],[CDS]]=""),"Oui","Non")</f>
        <v>Non</v>
      </c>
      <c r="AB31" s="75"/>
      <c r="AC31" s="75"/>
      <c r="AD31" s="75"/>
      <c r="AE31" s="75"/>
      <c r="AF31" s="75"/>
      <c r="AG31" s="75"/>
      <c r="AH31" s="75"/>
      <c r="AI31" s="75"/>
      <c r="AJ31" s="81"/>
      <c r="AK31" s="75"/>
      <c r="AL31" s="75"/>
    </row>
    <row r="32" spans="1:38" ht="15.75" hidden="1" thickBot="1" x14ac:dyDescent="0.3">
      <c r="A32" s="75"/>
      <c r="B32" s="75"/>
      <c r="C32" s="35">
        <f>INDEX(Données!$F$2:$L$54,MATCH(F32,Données!$F$2:$F$54,0),2)</f>
        <v>43857</v>
      </c>
      <c r="D32" s="29" t="str">
        <f t="shared" si="0"/>
        <v>#6</v>
      </c>
      <c r="E32" s="7">
        <f>Données!G6</f>
        <v>43857</v>
      </c>
      <c r="F32" s="6" t="str">
        <f>INDEX(Données!$F$2:$L$54,MATCH('#6'!E32,Données!$G$2:$G$54,1),1)</f>
        <v>5</v>
      </c>
      <c r="G32" s="18" t="str">
        <f t="shared" si="1"/>
        <v>S.O.</v>
      </c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1"/>
      <c r="W32" s="75"/>
      <c r="X32" s="75"/>
      <c r="Y32" s="75"/>
      <c r="Z32" s="96">
        <f>SUM(Tableau17[[#This Row],[A-1]:[G-5]])</f>
        <v>0</v>
      </c>
      <c r="AA32" s="96" t="str">
        <f>IF(AND(Z32&gt;0,Tableau17[[#This Row],[CDS]]=""),"Oui","Non")</f>
        <v>Non</v>
      </c>
      <c r="AB32" s="75"/>
      <c r="AC32" s="75"/>
      <c r="AD32" s="75"/>
      <c r="AE32" s="75"/>
      <c r="AF32" s="75"/>
      <c r="AG32" s="75"/>
      <c r="AH32" s="75"/>
      <c r="AI32" s="75"/>
      <c r="AJ32" s="81"/>
      <c r="AK32" s="75"/>
      <c r="AL32" s="75"/>
    </row>
    <row r="33" spans="1:38" ht="15.75" hidden="1" thickBot="1" x14ac:dyDescent="0.3">
      <c r="A33" s="75"/>
      <c r="B33" s="75"/>
      <c r="C33" s="35">
        <f>INDEX(Données!$F$2:$L$54,MATCH(F33,Données!$F$2:$F$54,0),2)</f>
        <v>43857</v>
      </c>
      <c r="D33" s="29" t="str">
        <f t="shared" si="0"/>
        <v>#6</v>
      </c>
      <c r="E33" s="7">
        <f>Données!H6</f>
        <v>43858</v>
      </c>
      <c r="F33" s="6" t="str">
        <f>INDEX(Données!$F$2:$L$54,MATCH('#6'!E33,Données!$G$2:$G$54,1),1)</f>
        <v>5</v>
      </c>
      <c r="G33" s="18" t="str">
        <f t="shared" si="1"/>
        <v>S.O.</v>
      </c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1"/>
      <c r="W33" s="75"/>
      <c r="X33" s="75"/>
      <c r="Y33" s="75"/>
      <c r="Z33" s="96">
        <f>SUM(Tableau17[[#This Row],[A-1]:[G-5]])</f>
        <v>0</v>
      </c>
      <c r="AA33" s="96" t="str">
        <f>IF(AND(Z33&gt;0,Tableau17[[#This Row],[CDS]]=""),"Oui","Non")</f>
        <v>Non</v>
      </c>
      <c r="AB33" s="75"/>
      <c r="AC33" s="75"/>
      <c r="AD33" s="75"/>
      <c r="AE33" s="75"/>
      <c r="AF33" s="75"/>
      <c r="AG33" s="75"/>
      <c r="AH33" s="75"/>
      <c r="AI33" s="75"/>
      <c r="AJ33" s="81"/>
      <c r="AK33" s="75"/>
      <c r="AL33" s="75"/>
    </row>
    <row r="34" spans="1:38" ht="15.75" hidden="1" thickBot="1" x14ac:dyDescent="0.3">
      <c r="A34" s="75"/>
      <c r="B34" s="75"/>
      <c r="C34" s="35">
        <f>INDEX(Données!$F$2:$L$54,MATCH(F34,Données!$F$2:$F$54,0),2)</f>
        <v>43857</v>
      </c>
      <c r="D34" s="29" t="str">
        <f t="shared" si="0"/>
        <v>#6</v>
      </c>
      <c r="E34" s="7">
        <f>Données!I6</f>
        <v>43859</v>
      </c>
      <c r="F34" s="6" t="str">
        <f>INDEX(Données!$F$2:$L$54,MATCH('#6'!E34,Données!$G$2:$G$54,1),1)</f>
        <v>5</v>
      </c>
      <c r="G34" s="18" t="str">
        <f t="shared" si="1"/>
        <v>S.O.</v>
      </c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1"/>
      <c r="W34" s="75"/>
      <c r="X34" s="75"/>
      <c r="Y34" s="75"/>
      <c r="Z34" s="96">
        <f>SUM(Tableau17[[#This Row],[A-1]:[G-5]])</f>
        <v>0</v>
      </c>
      <c r="AA34" s="96" t="str">
        <f>IF(AND(Z34&gt;0,Tableau17[[#This Row],[CDS]]=""),"Oui","Non")</f>
        <v>Non</v>
      </c>
      <c r="AB34" s="75"/>
      <c r="AC34" s="75"/>
      <c r="AD34" s="75"/>
      <c r="AE34" s="75"/>
      <c r="AF34" s="75"/>
      <c r="AG34" s="75"/>
      <c r="AH34" s="75"/>
      <c r="AI34" s="75"/>
      <c r="AJ34" s="81"/>
      <c r="AK34" s="75"/>
      <c r="AL34" s="75"/>
    </row>
    <row r="35" spans="1:38" ht="15.75" hidden="1" thickBot="1" x14ac:dyDescent="0.3">
      <c r="A35" s="75"/>
      <c r="B35" s="75"/>
      <c r="C35" s="35">
        <f>INDEX(Données!$F$2:$L$54,MATCH(F35,Données!$F$2:$F$54,0),2)</f>
        <v>43857</v>
      </c>
      <c r="D35" s="29" t="str">
        <f t="shared" si="0"/>
        <v>#6</v>
      </c>
      <c r="E35" s="7">
        <f>Données!J6</f>
        <v>43860</v>
      </c>
      <c r="F35" s="6" t="str">
        <f>INDEX(Données!$F$2:$L$54,MATCH('#6'!E35,Données!$G$2:$G$54,1),1)</f>
        <v>5</v>
      </c>
      <c r="G35" s="18" t="str">
        <f t="shared" si="1"/>
        <v>S.O.</v>
      </c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1"/>
      <c r="W35" s="75"/>
      <c r="X35" s="75"/>
      <c r="Y35" s="75"/>
      <c r="Z35" s="96">
        <f>SUM(Tableau17[[#This Row],[A-1]:[G-5]])</f>
        <v>0</v>
      </c>
      <c r="AA35" s="96" t="str">
        <f>IF(AND(Z35&gt;0,Tableau17[[#This Row],[CDS]]=""),"Oui","Non")</f>
        <v>Non</v>
      </c>
      <c r="AB35" s="75"/>
      <c r="AC35" s="75"/>
      <c r="AD35" s="75"/>
      <c r="AE35" s="75"/>
      <c r="AF35" s="75"/>
      <c r="AG35" s="75"/>
      <c r="AH35" s="75"/>
      <c r="AI35" s="75"/>
      <c r="AJ35" s="81"/>
      <c r="AK35" s="75"/>
      <c r="AL35" s="75"/>
    </row>
    <row r="36" spans="1:38" ht="15.75" hidden="1" thickBot="1" x14ac:dyDescent="0.3">
      <c r="A36" s="75"/>
      <c r="B36" s="75"/>
      <c r="C36" s="35">
        <f>INDEX(Données!$F$2:$L$54,MATCH(F36,Données!$F$2:$F$54,0),2)</f>
        <v>43857</v>
      </c>
      <c r="D36" s="29" t="str">
        <f t="shared" si="0"/>
        <v>#6</v>
      </c>
      <c r="E36" s="7">
        <f>Données!K6</f>
        <v>43861</v>
      </c>
      <c r="F36" s="6" t="str">
        <f>INDEX(Données!$F$2:$L$54,MATCH('#6'!E36,Données!$G$2:$G$54,1),1)</f>
        <v>5</v>
      </c>
      <c r="G36" s="18" t="str">
        <f t="shared" si="1"/>
        <v>S.O.</v>
      </c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1"/>
      <c r="W36" s="75"/>
      <c r="X36" s="75"/>
      <c r="Y36" s="75"/>
      <c r="Z36" s="96">
        <f>SUM(Tableau17[[#This Row],[A-1]:[G-5]])</f>
        <v>0</v>
      </c>
      <c r="AA36" s="96" t="str">
        <f>IF(AND(Z36&gt;0,Tableau17[[#This Row],[CDS]]=""),"Oui","Non")</f>
        <v>Non</v>
      </c>
      <c r="AB36" s="75"/>
      <c r="AC36" s="75"/>
      <c r="AD36" s="75"/>
      <c r="AE36" s="75"/>
      <c r="AF36" s="75"/>
      <c r="AG36" s="75"/>
      <c r="AH36" s="75"/>
      <c r="AI36" s="75"/>
      <c r="AJ36" s="81"/>
      <c r="AK36" s="75"/>
      <c r="AL36" s="75"/>
    </row>
    <row r="37" spans="1:38" ht="15.75" hidden="1" thickBot="1" x14ac:dyDescent="0.3">
      <c r="A37" s="75"/>
      <c r="B37" s="75"/>
      <c r="C37" s="35">
        <f>INDEX(Données!$F$2:$L$54,MATCH(F37,Données!$F$2:$F$54,0),2)</f>
        <v>43857</v>
      </c>
      <c r="D37" s="29" t="str">
        <f t="shared" si="0"/>
        <v>#6</v>
      </c>
      <c r="E37" s="7">
        <f>Données!L6</f>
        <v>43862</v>
      </c>
      <c r="F37" s="6" t="str">
        <f>INDEX(Données!$F$2:$L$54,MATCH('#6'!E37,Données!$G$2:$G$54,1),1)</f>
        <v>5</v>
      </c>
      <c r="G37" s="18" t="str">
        <f t="shared" si="1"/>
        <v>S.O.</v>
      </c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1"/>
      <c r="W37" s="75"/>
      <c r="X37" s="75"/>
      <c r="Y37" s="75"/>
      <c r="Z37" s="96">
        <f>SUM(Tableau17[[#This Row],[A-1]:[G-5]])</f>
        <v>0</v>
      </c>
      <c r="AA37" s="96" t="str">
        <f>IF(AND(Z37&gt;0,Tableau17[[#This Row],[CDS]]=""),"Oui","Non")</f>
        <v>Non</v>
      </c>
      <c r="AB37" s="75"/>
      <c r="AC37" s="75"/>
      <c r="AD37" s="75"/>
      <c r="AE37" s="75"/>
      <c r="AF37" s="75"/>
      <c r="AG37" s="75"/>
      <c r="AH37" s="75"/>
      <c r="AI37" s="75"/>
      <c r="AJ37" s="81"/>
      <c r="AK37" s="75"/>
      <c r="AL37" s="75"/>
    </row>
    <row r="38" spans="1:38" ht="15.75" hidden="1" thickBot="1" x14ac:dyDescent="0.3">
      <c r="A38" s="75"/>
      <c r="B38" s="75"/>
      <c r="C38" s="35">
        <f>INDEX(Données!$F$2:$L$54,MATCH(F38,Données!$F$2:$F$54,0),2)</f>
        <v>43864</v>
      </c>
      <c r="D38" s="29" t="str">
        <f t="shared" si="0"/>
        <v>#6</v>
      </c>
      <c r="E38" s="7">
        <f>Données!G7</f>
        <v>43864</v>
      </c>
      <c r="F38" s="6" t="str">
        <f>INDEX(Données!$F$2:$L$54,MATCH('#6'!E38,Données!$G$2:$G$54,1),1)</f>
        <v>6</v>
      </c>
      <c r="G38" s="18" t="str">
        <f t="shared" si="1"/>
        <v>S.O.</v>
      </c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1"/>
      <c r="W38" s="75"/>
      <c r="X38" s="75"/>
      <c r="Y38" s="75"/>
      <c r="Z38" s="96">
        <f>SUM(Tableau17[[#This Row],[A-1]:[G-5]])</f>
        <v>0</v>
      </c>
      <c r="AA38" s="96" t="str">
        <f>IF(AND(Z38&gt;0,Tableau17[[#This Row],[CDS]]=""),"Oui","Non")</f>
        <v>Non</v>
      </c>
      <c r="AB38" s="75"/>
      <c r="AC38" s="75"/>
      <c r="AD38" s="75"/>
      <c r="AE38" s="75"/>
      <c r="AF38" s="75"/>
      <c r="AG38" s="75"/>
      <c r="AH38" s="75"/>
      <c r="AI38" s="75"/>
      <c r="AJ38" s="81"/>
      <c r="AK38" s="75"/>
      <c r="AL38" s="75"/>
    </row>
    <row r="39" spans="1:38" ht="15.75" hidden="1" thickBot="1" x14ac:dyDescent="0.3">
      <c r="A39" s="75"/>
      <c r="B39" s="75"/>
      <c r="C39" s="35">
        <f>INDEX(Données!$F$2:$L$54,MATCH(F39,Données!$F$2:$F$54,0),2)</f>
        <v>43864</v>
      </c>
      <c r="D39" s="29" t="str">
        <f t="shared" si="0"/>
        <v>#6</v>
      </c>
      <c r="E39" s="7">
        <f>Données!H7</f>
        <v>43865</v>
      </c>
      <c r="F39" s="6" t="str">
        <f>INDEX(Données!$F$2:$L$54,MATCH('#6'!E39,Données!$G$2:$G$54,1),1)</f>
        <v>6</v>
      </c>
      <c r="G39" s="18" t="str">
        <f t="shared" si="1"/>
        <v>S.O.</v>
      </c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1"/>
      <c r="W39" s="75"/>
      <c r="X39" s="75"/>
      <c r="Y39" s="75"/>
      <c r="Z39" s="96">
        <f>SUM(Tableau17[[#This Row],[A-1]:[G-5]])</f>
        <v>0</v>
      </c>
      <c r="AA39" s="96" t="str">
        <f>IF(AND(Z39&gt;0,Tableau17[[#This Row],[CDS]]=""),"Oui","Non")</f>
        <v>Non</v>
      </c>
      <c r="AB39" s="75"/>
      <c r="AC39" s="75"/>
      <c r="AD39" s="75"/>
      <c r="AE39" s="75"/>
      <c r="AF39" s="75"/>
      <c r="AG39" s="75"/>
      <c r="AH39" s="75"/>
      <c r="AI39" s="75"/>
      <c r="AJ39" s="81"/>
      <c r="AK39" s="75"/>
      <c r="AL39" s="75"/>
    </row>
    <row r="40" spans="1:38" ht="15.75" hidden="1" thickBot="1" x14ac:dyDescent="0.3">
      <c r="A40" s="75"/>
      <c r="B40" s="75"/>
      <c r="C40" s="35">
        <f>INDEX(Données!$F$2:$L$54,MATCH(F40,Données!$F$2:$F$54,0),2)</f>
        <v>43864</v>
      </c>
      <c r="D40" s="29" t="str">
        <f t="shared" si="0"/>
        <v>#6</v>
      </c>
      <c r="E40" s="7">
        <f>Données!I7</f>
        <v>43866</v>
      </c>
      <c r="F40" s="6" t="str">
        <f>INDEX(Données!$F$2:$L$54,MATCH('#6'!E40,Données!$G$2:$G$54,1),1)</f>
        <v>6</v>
      </c>
      <c r="G40" s="18" t="str">
        <f t="shared" si="1"/>
        <v>S.O.</v>
      </c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1"/>
      <c r="W40" s="75"/>
      <c r="X40" s="75"/>
      <c r="Y40" s="75"/>
      <c r="Z40" s="96">
        <f>SUM(Tableau17[[#This Row],[A-1]:[G-5]])</f>
        <v>0</v>
      </c>
      <c r="AA40" s="96" t="str">
        <f>IF(AND(Z40&gt;0,Tableau17[[#This Row],[CDS]]=""),"Oui","Non")</f>
        <v>Non</v>
      </c>
      <c r="AB40" s="75"/>
      <c r="AC40" s="75"/>
      <c r="AD40" s="75"/>
      <c r="AE40" s="75"/>
      <c r="AF40" s="75"/>
      <c r="AG40" s="75"/>
      <c r="AH40" s="75"/>
      <c r="AI40" s="75"/>
      <c r="AJ40" s="81"/>
      <c r="AK40" s="75"/>
      <c r="AL40" s="75"/>
    </row>
    <row r="41" spans="1:38" ht="15.75" hidden="1" thickBot="1" x14ac:dyDescent="0.3">
      <c r="A41" s="75"/>
      <c r="B41" s="75"/>
      <c r="C41" s="35">
        <f>INDEX(Données!$F$2:$L$54,MATCH(F41,Données!$F$2:$F$54,0),2)</f>
        <v>43864</v>
      </c>
      <c r="D41" s="29" t="str">
        <f t="shared" si="0"/>
        <v>#6</v>
      </c>
      <c r="E41" s="7">
        <f>Données!J7</f>
        <v>43867</v>
      </c>
      <c r="F41" s="6" t="str">
        <f>INDEX(Données!$F$2:$L$54,MATCH('#6'!E41,Données!$G$2:$G$54,1),1)</f>
        <v>6</v>
      </c>
      <c r="G41" s="18" t="str">
        <f t="shared" si="1"/>
        <v>S.O.</v>
      </c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1"/>
      <c r="W41" s="75"/>
      <c r="X41" s="75"/>
      <c r="Y41" s="75"/>
      <c r="Z41" s="96">
        <f>SUM(Tableau17[[#This Row],[A-1]:[G-5]])</f>
        <v>0</v>
      </c>
      <c r="AA41" s="96" t="str">
        <f>IF(AND(Z41&gt;0,Tableau17[[#This Row],[CDS]]=""),"Oui","Non")</f>
        <v>Non</v>
      </c>
      <c r="AB41" s="75"/>
      <c r="AC41" s="75"/>
      <c r="AD41" s="75"/>
      <c r="AE41" s="75"/>
      <c r="AF41" s="75"/>
      <c r="AG41" s="75"/>
      <c r="AH41" s="75"/>
      <c r="AI41" s="75"/>
      <c r="AJ41" s="81"/>
      <c r="AK41" s="75"/>
      <c r="AL41" s="75"/>
    </row>
    <row r="42" spans="1:38" ht="15.75" hidden="1" thickBot="1" x14ac:dyDescent="0.3">
      <c r="A42" s="75"/>
      <c r="B42" s="75"/>
      <c r="C42" s="35">
        <f>INDEX(Données!$F$2:$L$54,MATCH(F42,Données!$F$2:$F$54,0),2)</f>
        <v>43864</v>
      </c>
      <c r="D42" s="29" t="str">
        <f t="shared" si="0"/>
        <v>#6</v>
      </c>
      <c r="E42" s="7">
        <f>Données!K7</f>
        <v>43868</v>
      </c>
      <c r="F42" s="6" t="str">
        <f>INDEX(Données!$F$2:$L$54,MATCH('#6'!E42,Données!$G$2:$G$54,1),1)</f>
        <v>6</v>
      </c>
      <c r="G42" s="18" t="str">
        <f t="shared" si="1"/>
        <v>S.O.</v>
      </c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1"/>
      <c r="W42" s="75"/>
      <c r="X42" s="75"/>
      <c r="Y42" s="75"/>
      <c r="Z42" s="96">
        <f>SUM(Tableau17[[#This Row],[A-1]:[G-5]])</f>
        <v>0</v>
      </c>
      <c r="AA42" s="96" t="str">
        <f>IF(AND(Z42&gt;0,Tableau17[[#This Row],[CDS]]=""),"Oui","Non")</f>
        <v>Non</v>
      </c>
      <c r="AB42" s="75"/>
      <c r="AC42" s="75"/>
      <c r="AD42" s="75"/>
      <c r="AE42" s="75"/>
      <c r="AF42" s="75"/>
      <c r="AG42" s="75"/>
      <c r="AH42" s="75"/>
      <c r="AI42" s="75"/>
      <c r="AJ42" s="81"/>
      <c r="AK42" s="75"/>
      <c r="AL42" s="75"/>
    </row>
    <row r="43" spans="1:38" ht="15.75" hidden="1" thickBot="1" x14ac:dyDescent="0.3">
      <c r="A43" s="75"/>
      <c r="B43" s="75"/>
      <c r="C43" s="35">
        <f>INDEX(Données!$F$2:$L$54,MATCH(F43,Données!$F$2:$F$54,0),2)</f>
        <v>43864</v>
      </c>
      <c r="D43" s="29" t="str">
        <f t="shared" si="0"/>
        <v>#6</v>
      </c>
      <c r="E43" s="7">
        <f>Données!L7</f>
        <v>43869</v>
      </c>
      <c r="F43" s="6" t="str">
        <f>INDEX(Données!$F$2:$L$54,MATCH('#6'!E43,Données!$G$2:$G$54,1),1)</f>
        <v>6</v>
      </c>
      <c r="G43" s="18" t="str">
        <f t="shared" si="1"/>
        <v>S.O.</v>
      </c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1"/>
      <c r="W43" s="75"/>
      <c r="X43" s="75"/>
      <c r="Y43" s="75"/>
      <c r="Z43" s="96">
        <f>SUM(Tableau17[[#This Row],[A-1]:[G-5]])</f>
        <v>0</v>
      </c>
      <c r="AA43" s="96" t="str">
        <f>IF(AND(Z43&gt;0,Tableau17[[#This Row],[CDS]]=""),"Oui","Non")</f>
        <v>Non</v>
      </c>
      <c r="AB43" s="75"/>
      <c r="AC43" s="75"/>
      <c r="AD43" s="75"/>
      <c r="AE43" s="75"/>
      <c r="AF43" s="75"/>
      <c r="AG43" s="75"/>
      <c r="AH43" s="75"/>
      <c r="AI43" s="75"/>
      <c r="AJ43" s="81"/>
      <c r="AK43" s="75"/>
      <c r="AL43" s="75"/>
    </row>
    <row r="44" spans="1:38" ht="15.75" hidden="1" thickBot="1" x14ac:dyDescent="0.3">
      <c r="A44" s="75"/>
      <c r="B44" s="75"/>
      <c r="C44" s="35">
        <f>INDEX(Données!$F$2:$L$54,MATCH(F44,Données!$F$2:$F$54,0),2)</f>
        <v>43871</v>
      </c>
      <c r="D44" s="29" t="str">
        <f t="shared" si="0"/>
        <v>#6</v>
      </c>
      <c r="E44" s="7">
        <f>Données!G8</f>
        <v>43871</v>
      </c>
      <c r="F44" s="6" t="str">
        <f>INDEX(Données!$F$2:$L$54,MATCH('#6'!E44,Données!$G$2:$G$54,1),1)</f>
        <v>7</v>
      </c>
      <c r="G44" s="18" t="str">
        <f t="shared" si="1"/>
        <v>S.O.</v>
      </c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1"/>
      <c r="W44" s="75"/>
      <c r="X44" s="75"/>
      <c r="Y44" s="75"/>
      <c r="Z44" s="96">
        <f>SUM(Tableau17[[#This Row],[A-1]:[G-5]])</f>
        <v>0</v>
      </c>
      <c r="AA44" s="96" t="str">
        <f>IF(AND(Z44&gt;0,Tableau17[[#This Row],[CDS]]=""),"Oui","Non")</f>
        <v>Non</v>
      </c>
      <c r="AB44" s="75"/>
      <c r="AC44" s="75"/>
      <c r="AD44" s="75"/>
      <c r="AE44" s="75"/>
      <c r="AF44" s="75"/>
      <c r="AG44" s="75"/>
      <c r="AH44" s="75"/>
      <c r="AI44" s="75"/>
      <c r="AJ44" s="81"/>
      <c r="AK44" s="75"/>
      <c r="AL44" s="75"/>
    </row>
    <row r="45" spans="1:38" ht="15.75" hidden="1" thickBot="1" x14ac:dyDescent="0.3">
      <c r="A45" s="75"/>
      <c r="B45" s="75"/>
      <c r="C45" s="35">
        <f>INDEX(Données!$F$2:$L$54,MATCH(F45,Données!$F$2:$F$54,0),2)</f>
        <v>43871</v>
      </c>
      <c r="D45" s="29" t="str">
        <f t="shared" si="0"/>
        <v>#6</v>
      </c>
      <c r="E45" s="7">
        <f>Données!H8</f>
        <v>43872</v>
      </c>
      <c r="F45" s="6" t="str">
        <f>INDEX(Données!$F$2:$L$54,MATCH('#6'!E45,Données!$G$2:$G$54,1),1)</f>
        <v>7</v>
      </c>
      <c r="G45" s="18" t="str">
        <f t="shared" si="1"/>
        <v>S.O.</v>
      </c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1"/>
      <c r="W45" s="75"/>
      <c r="X45" s="75"/>
      <c r="Y45" s="75"/>
      <c r="Z45" s="96">
        <f>SUM(Tableau17[[#This Row],[A-1]:[G-5]])</f>
        <v>0</v>
      </c>
      <c r="AA45" s="96" t="str">
        <f>IF(AND(Z45&gt;0,Tableau17[[#This Row],[CDS]]=""),"Oui","Non")</f>
        <v>Non</v>
      </c>
      <c r="AB45" s="75"/>
      <c r="AC45" s="75"/>
      <c r="AD45" s="75"/>
      <c r="AE45" s="75"/>
      <c r="AF45" s="75"/>
      <c r="AG45" s="75"/>
      <c r="AH45" s="75"/>
      <c r="AI45" s="75"/>
      <c r="AJ45" s="81"/>
      <c r="AK45" s="75"/>
      <c r="AL45" s="75"/>
    </row>
    <row r="46" spans="1:38" ht="15.75" hidden="1" thickBot="1" x14ac:dyDescent="0.3">
      <c r="A46" s="75"/>
      <c r="B46" s="75"/>
      <c r="C46" s="35">
        <f>INDEX(Données!$F$2:$L$54,MATCH(F46,Données!$F$2:$F$54,0),2)</f>
        <v>43871</v>
      </c>
      <c r="D46" s="29" t="str">
        <f t="shared" si="0"/>
        <v>#6</v>
      </c>
      <c r="E46" s="7">
        <f>Données!I8</f>
        <v>43873</v>
      </c>
      <c r="F46" s="6" t="str">
        <f>INDEX(Données!$F$2:$L$54,MATCH('#6'!E46,Données!$G$2:$G$54,1),1)</f>
        <v>7</v>
      </c>
      <c r="G46" s="18" t="str">
        <f t="shared" si="1"/>
        <v>S.O.</v>
      </c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1"/>
      <c r="W46" s="75"/>
      <c r="X46" s="75"/>
      <c r="Y46" s="75"/>
      <c r="Z46" s="96">
        <f>SUM(Tableau17[[#This Row],[A-1]:[G-5]])</f>
        <v>0</v>
      </c>
      <c r="AA46" s="96" t="str">
        <f>IF(AND(Z46&gt;0,Tableau17[[#This Row],[CDS]]=""),"Oui","Non")</f>
        <v>Non</v>
      </c>
      <c r="AB46" s="75"/>
      <c r="AC46" s="75"/>
      <c r="AD46" s="75"/>
      <c r="AE46" s="75"/>
      <c r="AF46" s="75"/>
      <c r="AG46" s="75"/>
      <c r="AH46" s="75"/>
      <c r="AI46" s="75"/>
      <c r="AJ46" s="81"/>
      <c r="AK46" s="75"/>
      <c r="AL46" s="75"/>
    </row>
    <row r="47" spans="1:38" ht="15.75" hidden="1" thickBot="1" x14ac:dyDescent="0.3">
      <c r="A47" s="75"/>
      <c r="B47" s="75"/>
      <c r="C47" s="35">
        <f>INDEX(Données!$F$2:$L$54,MATCH(F47,Données!$F$2:$F$54,0),2)</f>
        <v>43871</v>
      </c>
      <c r="D47" s="29" t="str">
        <f t="shared" si="0"/>
        <v>#6</v>
      </c>
      <c r="E47" s="7">
        <f>Données!J8</f>
        <v>43874</v>
      </c>
      <c r="F47" s="6" t="str">
        <f>INDEX(Données!$F$2:$L$54,MATCH('#6'!E47,Données!$G$2:$G$54,1),1)</f>
        <v>7</v>
      </c>
      <c r="G47" s="18" t="str">
        <f t="shared" si="1"/>
        <v>S.O.</v>
      </c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1"/>
      <c r="W47" s="75"/>
      <c r="X47" s="75"/>
      <c r="Y47" s="75"/>
      <c r="Z47" s="96">
        <f>SUM(Tableau17[[#This Row],[A-1]:[G-5]])</f>
        <v>0</v>
      </c>
      <c r="AA47" s="96" t="str">
        <f>IF(AND(Z47&gt;0,Tableau17[[#This Row],[CDS]]=""),"Oui","Non")</f>
        <v>Non</v>
      </c>
      <c r="AB47" s="75"/>
      <c r="AC47" s="75"/>
      <c r="AD47" s="75"/>
      <c r="AE47" s="75"/>
      <c r="AF47" s="75"/>
      <c r="AG47" s="75"/>
      <c r="AH47" s="75"/>
      <c r="AI47" s="75"/>
      <c r="AJ47" s="81"/>
      <c r="AK47" s="75"/>
      <c r="AL47" s="75"/>
    </row>
    <row r="48" spans="1:38" ht="15.75" hidden="1" thickBot="1" x14ac:dyDescent="0.3">
      <c r="A48" s="75"/>
      <c r="B48" s="75"/>
      <c r="C48" s="35">
        <f>INDEX(Données!$F$2:$L$54,MATCH(F48,Données!$F$2:$F$54,0),2)</f>
        <v>43871</v>
      </c>
      <c r="D48" s="29" t="str">
        <f t="shared" si="0"/>
        <v>#6</v>
      </c>
      <c r="E48" s="7">
        <f>Données!K8</f>
        <v>43875</v>
      </c>
      <c r="F48" s="6" t="str">
        <f>INDEX(Données!$F$2:$L$54,MATCH('#6'!E48,Données!$G$2:$G$54,1),1)</f>
        <v>7</v>
      </c>
      <c r="G48" s="18" t="str">
        <f t="shared" si="1"/>
        <v>S.O.</v>
      </c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1"/>
      <c r="W48" s="75"/>
      <c r="X48" s="75"/>
      <c r="Y48" s="75"/>
      <c r="Z48" s="96">
        <f>SUM(Tableau17[[#This Row],[A-1]:[G-5]])</f>
        <v>0</v>
      </c>
      <c r="AA48" s="96" t="str">
        <f>IF(AND(Z48&gt;0,Tableau17[[#This Row],[CDS]]=""),"Oui","Non")</f>
        <v>Non</v>
      </c>
      <c r="AB48" s="75"/>
      <c r="AC48" s="75"/>
      <c r="AD48" s="75"/>
      <c r="AE48" s="75"/>
      <c r="AF48" s="75"/>
      <c r="AG48" s="75"/>
      <c r="AH48" s="75"/>
      <c r="AI48" s="75"/>
      <c r="AJ48" s="81"/>
      <c r="AK48" s="75"/>
      <c r="AL48" s="75"/>
    </row>
    <row r="49" spans="1:38" ht="15.75" hidden="1" thickBot="1" x14ac:dyDescent="0.3">
      <c r="A49" s="75"/>
      <c r="B49" s="75"/>
      <c r="C49" s="35">
        <f>INDEX(Données!$F$2:$L$54,MATCH(F49,Données!$F$2:$F$54,0),2)</f>
        <v>43871</v>
      </c>
      <c r="D49" s="29" t="str">
        <f t="shared" si="0"/>
        <v>#6</v>
      </c>
      <c r="E49" s="7">
        <f>Données!L8</f>
        <v>43876</v>
      </c>
      <c r="F49" s="6" t="str">
        <f>INDEX(Données!$F$2:$L$54,MATCH('#6'!E49,Données!$G$2:$G$54,1),1)</f>
        <v>7</v>
      </c>
      <c r="G49" s="18" t="str">
        <f t="shared" si="1"/>
        <v>S.O.</v>
      </c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1"/>
      <c r="W49" s="75"/>
      <c r="X49" s="75"/>
      <c r="Y49" s="75"/>
      <c r="Z49" s="96">
        <f>SUM(Tableau17[[#This Row],[A-1]:[G-5]])</f>
        <v>0</v>
      </c>
      <c r="AA49" s="96" t="str">
        <f>IF(AND(Z49&gt;0,Tableau17[[#This Row],[CDS]]=""),"Oui","Non")</f>
        <v>Non</v>
      </c>
      <c r="AB49" s="75"/>
      <c r="AC49" s="75"/>
      <c r="AD49" s="75"/>
      <c r="AE49" s="75"/>
      <c r="AF49" s="75"/>
      <c r="AG49" s="75"/>
      <c r="AH49" s="75"/>
      <c r="AI49" s="75"/>
      <c r="AJ49" s="81"/>
      <c r="AK49" s="75"/>
      <c r="AL49" s="75"/>
    </row>
    <row r="50" spans="1:38" ht="15.75" hidden="1" thickBot="1" x14ac:dyDescent="0.3">
      <c r="A50" s="75"/>
      <c r="B50" s="75"/>
      <c r="C50" s="35">
        <f>INDEX(Données!$F$2:$L$54,MATCH(F50,Données!$F$2:$F$54,0),2)</f>
        <v>43878</v>
      </c>
      <c r="D50" s="29" t="str">
        <f t="shared" si="0"/>
        <v>#6</v>
      </c>
      <c r="E50" s="7">
        <f>Données!G9</f>
        <v>43878</v>
      </c>
      <c r="F50" s="6" t="str">
        <f>INDEX(Données!$F$2:$L$54,MATCH('#6'!E50,Données!$G$2:$G$54,1),1)</f>
        <v>8</v>
      </c>
      <c r="G50" s="18" t="str">
        <f t="shared" si="1"/>
        <v>S.O.</v>
      </c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1"/>
      <c r="W50" s="75"/>
      <c r="X50" s="75"/>
      <c r="Y50" s="75"/>
      <c r="Z50" s="96">
        <f>SUM(Tableau17[[#This Row],[A-1]:[G-5]])</f>
        <v>0</v>
      </c>
      <c r="AA50" s="96" t="str">
        <f>IF(AND(Z50&gt;0,Tableau17[[#This Row],[CDS]]=""),"Oui","Non")</f>
        <v>Non</v>
      </c>
      <c r="AB50" s="75"/>
      <c r="AC50" s="75"/>
      <c r="AD50" s="75"/>
      <c r="AE50" s="75"/>
      <c r="AF50" s="75"/>
      <c r="AG50" s="75"/>
      <c r="AH50" s="75"/>
      <c r="AI50" s="75"/>
      <c r="AJ50" s="81"/>
      <c r="AK50" s="75"/>
      <c r="AL50" s="75"/>
    </row>
    <row r="51" spans="1:38" ht="15.75" hidden="1" thickBot="1" x14ac:dyDescent="0.3">
      <c r="A51" s="75"/>
      <c r="B51" s="75"/>
      <c r="C51" s="35">
        <f>INDEX(Données!$F$2:$L$54,MATCH(F51,Données!$F$2:$F$54,0),2)</f>
        <v>43878</v>
      </c>
      <c r="D51" s="29" t="str">
        <f t="shared" si="0"/>
        <v>#6</v>
      </c>
      <c r="E51" s="7">
        <f>Données!H9</f>
        <v>43879</v>
      </c>
      <c r="F51" s="6" t="str">
        <f>INDEX(Données!$F$2:$L$54,MATCH('#6'!E51,Données!$G$2:$G$54,1),1)</f>
        <v>8</v>
      </c>
      <c r="G51" s="18" t="str">
        <f t="shared" si="1"/>
        <v>S.O.</v>
      </c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1"/>
      <c r="W51" s="75"/>
      <c r="X51" s="75"/>
      <c r="Y51" s="75"/>
      <c r="Z51" s="96">
        <f>SUM(Tableau17[[#This Row],[A-1]:[G-5]])</f>
        <v>0</v>
      </c>
      <c r="AA51" s="96" t="str">
        <f>IF(AND(Z51&gt;0,Tableau17[[#This Row],[CDS]]=""),"Oui","Non")</f>
        <v>Non</v>
      </c>
      <c r="AB51" s="75"/>
      <c r="AC51" s="75"/>
      <c r="AD51" s="75"/>
      <c r="AE51" s="75"/>
      <c r="AF51" s="75"/>
      <c r="AG51" s="75"/>
      <c r="AH51" s="75"/>
      <c r="AI51" s="75"/>
      <c r="AJ51" s="81"/>
      <c r="AK51" s="75"/>
      <c r="AL51" s="75"/>
    </row>
    <row r="52" spans="1:38" ht="15.75" hidden="1" thickBot="1" x14ac:dyDescent="0.3">
      <c r="A52" s="75"/>
      <c r="B52" s="75"/>
      <c r="C52" s="35">
        <f>INDEX(Données!$F$2:$L$54,MATCH(F52,Données!$F$2:$F$54,0),2)</f>
        <v>43878</v>
      </c>
      <c r="D52" s="29" t="str">
        <f t="shared" si="0"/>
        <v>#6</v>
      </c>
      <c r="E52" s="7">
        <f>Données!I9</f>
        <v>43880</v>
      </c>
      <c r="F52" s="6" t="str">
        <f>INDEX(Données!$F$2:$L$54,MATCH('#6'!E52,Données!$G$2:$G$54,1),1)</f>
        <v>8</v>
      </c>
      <c r="G52" s="18" t="str">
        <f t="shared" si="1"/>
        <v>S.O.</v>
      </c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1"/>
      <c r="W52" s="75"/>
      <c r="X52" s="75"/>
      <c r="Y52" s="75"/>
      <c r="Z52" s="96">
        <f>SUM(Tableau17[[#This Row],[A-1]:[G-5]])</f>
        <v>0</v>
      </c>
      <c r="AA52" s="96" t="str">
        <f>IF(AND(Z52&gt;0,Tableau17[[#This Row],[CDS]]=""),"Oui","Non")</f>
        <v>Non</v>
      </c>
      <c r="AB52" s="75"/>
      <c r="AC52" s="75"/>
      <c r="AD52" s="75"/>
      <c r="AE52" s="75"/>
      <c r="AF52" s="75"/>
      <c r="AG52" s="75"/>
      <c r="AH52" s="75"/>
      <c r="AI52" s="75"/>
      <c r="AJ52" s="81"/>
      <c r="AK52" s="75"/>
      <c r="AL52" s="75"/>
    </row>
    <row r="53" spans="1:38" ht="15.75" hidden="1" thickBot="1" x14ac:dyDescent="0.3">
      <c r="A53" s="75"/>
      <c r="B53" s="75"/>
      <c r="C53" s="35">
        <f>INDEX(Données!$F$2:$L$54,MATCH(F53,Données!$F$2:$F$54,0),2)</f>
        <v>43878</v>
      </c>
      <c r="D53" s="29" t="str">
        <f t="shared" si="0"/>
        <v>#6</v>
      </c>
      <c r="E53" s="7">
        <f>Données!J9</f>
        <v>43881</v>
      </c>
      <c r="F53" s="6" t="str">
        <f>INDEX(Données!$F$2:$L$54,MATCH('#6'!E53,Données!$G$2:$G$54,1),1)</f>
        <v>8</v>
      </c>
      <c r="G53" s="18" t="str">
        <f t="shared" si="1"/>
        <v>S.O.</v>
      </c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1"/>
      <c r="W53" s="75"/>
      <c r="X53" s="75"/>
      <c r="Y53" s="75"/>
      <c r="Z53" s="96">
        <f>SUM(Tableau17[[#This Row],[A-1]:[G-5]])</f>
        <v>0</v>
      </c>
      <c r="AA53" s="96" t="str">
        <f>IF(AND(Z53&gt;0,Tableau17[[#This Row],[CDS]]=""),"Oui","Non")</f>
        <v>Non</v>
      </c>
      <c r="AB53" s="75"/>
      <c r="AC53" s="75"/>
      <c r="AD53" s="75"/>
      <c r="AE53" s="75"/>
      <c r="AF53" s="75"/>
      <c r="AG53" s="75"/>
      <c r="AH53" s="75"/>
      <c r="AI53" s="75"/>
      <c r="AJ53" s="81"/>
      <c r="AK53" s="75"/>
      <c r="AL53" s="75"/>
    </row>
    <row r="54" spans="1:38" ht="15.75" hidden="1" thickBot="1" x14ac:dyDescent="0.3">
      <c r="A54" s="75"/>
      <c r="B54" s="75"/>
      <c r="C54" s="35">
        <f>INDEX(Données!$F$2:$L$54,MATCH(F54,Données!$F$2:$F$54,0),2)</f>
        <v>43878</v>
      </c>
      <c r="D54" s="29" t="str">
        <f t="shared" si="0"/>
        <v>#6</v>
      </c>
      <c r="E54" s="7">
        <f>Données!K9</f>
        <v>43882</v>
      </c>
      <c r="F54" s="6" t="str">
        <f>INDEX(Données!$F$2:$L$54,MATCH('#6'!E54,Données!$G$2:$G$54,1),1)</f>
        <v>8</v>
      </c>
      <c r="G54" s="18" t="str">
        <f t="shared" si="1"/>
        <v>S.O.</v>
      </c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1"/>
      <c r="W54" s="75"/>
      <c r="X54" s="75"/>
      <c r="Y54" s="75"/>
      <c r="Z54" s="96">
        <f>SUM(Tableau17[[#This Row],[A-1]:[G-5]])</f>
        <v>0</v>
      </c>
      <c r="AA54" s="96" t="str">
        <f>IF(AND(Z54&gt;0,Tableau17[[#This Row],[CDS]]=""),"Oui","Non")</f>
        <v>Non</v>
      </c>
      <c r="AB54" s="75"/>
      <c r="AC54" s="75"/>
      <c r="AD54" s="75"/>
      <c r="AE54" s="75"/>
      <c r="AF54" s="75"/>
      <c r="AG54" s="75"/>
      <c r="AH54" s="75"/>
      <c r="AI54" s="75"/>
      <c r="AJ54" s="81"/>
      <c r="AK54" s="75"/>
      <c r="AL54" s="75"/>
    </row>
    <row r="55" spans="1:38" ht="15.75" hidden="1" thickBot="1" x14ac:dyDescent="0.3">
      <c r="A55" s="75"/>
      <c r="B55" s="75"/>
      <c r="C55" s="35">
        <f>INDEX(Données!$F$2:$L$54,MATCH(F55,Données!$F$2:$F$54,0),2)</f>
        <v>43878</v>
      </c>
      <c r="D55" s="29" t="str">
        <f t="shared" si="0"/>
        <v>#6</v>
      </c>
      <c r="E55" s="7">
        <f>Données!L9</f>
        <v>43883</v>
      </c>
      <c r="F55" s="6" t="str">
        <f>INDEX(Données!$F$2:$L$54,MATCH('#6'!E55,Données!$G$2:$G$54,1),1)</f>
        <v>8</v>
      </c>
      <c r="G55" s="18" t="str">
        <f t="shared" si="1"/>
        <v>S.O.</v>
      </c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1"/>
      <c r="W55" s="75"/>
      <c r="X55" s="75"/>
      <c r="Y55" s="75"/>
      <c r="Z55" s="96">
        <f>SUM(Tableau17[[#This Row],[A-1]:[G-5]])</f>
        <v>0</v>
      </c>
      <c r="AA55" s="96" t="str">
        <f>IF(AND(Z55&gt;0,Tableau17[[#This Row],[CDS]]=""),"Oui","Non")</f>
        <v>Non</v>
      </c>
      <c r="AB55" s="75"/>
      <c r="AC55" s="75"/>
      <c r="AD55" s="75"/>
      <c r="AE55" s="75"/>
      <c r="AF55" s="75"/>
      <c r="AG55" s="75"/>
      <c r="AH55" s="75"/>
      <c r="AI55" s="75"/>
      <c r="AJ55" s="81"/>
      <c r="AK55" s="75"/>
      <c r="AL55" s="75"/>
    </row>
    <row r="56" spans="1:38" ht="15.75" hidden="1" thickBot="1" x14ac:dyDescent="0.3">
      <c r="A56" s="75"/>
      <c r="B56" s="75"/>
      <c r="C56" s="35">
        <f>INDEX(Données!$F$2:$L$54,MATCH(F56,Données!$F$2:$F$54,0),2)</f>
        <v>43885</v>
      </c>
      <c r="D56" s="29" t="str">
        <f t="shared" si="0"/>
        <v>#6</v>
      </c>
      <c r="E56" s="7">
        <f>Données!G10</f>
        <v>43885</v>
      </c>
      <c r="F56" s="6" t="str">
        <f>INDEX(Données!$F$2:$L$54,MATCH('#6'!E56,Données!$G$2:$G$54,1),1)</f>
        <v>9</v>
      </c>
      <c r="G56" s="18" t="str">
        <f t="shared" si="1"/>
        <v>S.O.</v>
      </c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1"/>
      <c r="W56" s="75"/>
      <c r="X56" s="75"/>
      <c r="Y56" s="75"/>
      <c r="Z56" s="96">
        <f>SUM(Tableau17[[#This Row],[A-1]:[G-5]])</f>
        <v>0</v>
      </c>
      <c r="AA56" s="96" t="str">
        <f>IF(AND(Z56&gt;0,Tableau17[[#This Row],[CDS]]=""),"Oui","Non")</f>
        <v>Non</v>
      </c>
      <c r="AB56" s="75"/>
      <c r="AC56" s="75"/>
      <c r="AD56" s="75"/>
      <c r="AE56" s="75"/>
      <c r="AF56" s="75"/>
      <c r="AG56" s="75"/>
      <c r="AH56" s="75"/>
      <c r="AI56" s="75"/>
      <c r="AJ56" s="81"/>
      <c r="AK56" s="75"/>
      <c r="AL56" s="75"/>
    </row>
    <row r="57" spans="1:38" ht="15.75" hidden="1" thickBot="1" x14ac:dyDescent="0.3">
      <c r="A57" s="75"/>
      <c r="B57" s="75"/>
      <c r="C57" s="35">
        <f>INDEX(Données!$F$2:$L$54,MATCH(F57,Données!$F$2:$F$54,0),2)</f>
        <v>43885</v>
      </c>
      <c r="D57" s="29" t="str">
        <f t="shared" si="0"/>
        <v>#6</v>
      </c>
      <c r="E57" s="7">
        <f>Données!H10</f>
        <v>43886</v>
      </c>
      <c r="F57" s="6" t="str">
        <f>INDEX(Données!$F$2:$L$54,MATCH('#6'!E57,Données!$G$2:$G$54,1),1)</f>
        <v>9</v>
      </c>
      <c r="G57" s="18" t="str">
        <f t="shared" si="1"/>
        <v>S.O.</v>
      </c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1"/>
      <c r="W57" s="75"/>
      <c r="X57" s="75"/>
      <c r="Y57" s="75"/>
      <c r="Z57" s="96">
        <f>SUM(Tableau17[[#This Row],[A-1]:[G-5]])</f>
        <v>0</v>
      </c>
      <c r="AA57" s="96" t="str">
        <f>IF(AND(Z57&gt;0,Tableau17[[#This Row],[CDS]]=""),"Oui","Non")</f>
        <v>Non</v>
      </c>
      <c r="AB57" s="75"/>
      <c r="AC57" s="75"/>
      <c r="AD57" s="75"/>
      <c r="AE57" s="75"/>
      <c r="AF57" s="75"/>
      <c r="AG57" s="75"/>
      <c r="AH57" s="75"/>
      <c r="AI57" s="75"/>
      <c r="AJ57" s="81"/>
      <c r="AK57" s="75"/>
      <c r="AL57" s="75"/>
    </row>
    <row r="58" spans="1:38" ht="15.75" hidden="1" thickBot="1" x14ac:dyDescent="0.3">
      <c r="A58" s="75"/>
      <c r="B58" s="75"/>
      <c r="C58" s="35">
        <f>INDEX(Données!$F$2:$L$54,MATCH(F58,Données!$F$2:$F$54,0),2)</f>
        <v>43885</v>
      </c>
      <c r="D58" s="29" t="str">
        <f t="shared" si="0"/>
        <v>#6</v>
      </c>
      <c r="E58" s="7">
        <f>Données!I10</f>
        <v>43887</v>
      </c>
      <c r="F58" s="6" t="str">
        <f>INDEX(Données!$F$2:$L$54,MATCH('#6'!E58,Données!$G$2:$G$54,1),1)</f>
        <v>9</v>
      </c>
      <c r="G58" s="18" t="str">
        <f t="shared" si="1"/>
        <v>S.O.</v>
      </c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1"/>
      <c r="W58" s="75"/>
      <c r="X58" s="75"/>
      <c r="Y58" s="75"/>
      <c r="Z58" s="96">
        <f>SUM(Tableau17[[#This Row],[A-1]:[G-5]])</f>
        <v>0</v>
      </c>
      <c r="AA58" s="96" t="str">
        <f>IF(AND(Z58&gt;0,Tableau17[[#This Row],[CDS]]=""),"Oui","Non")</f>
        <v>Non</v>
      </c>
      <c r="AB58" s="75"/>
      <c r="AC58" s="75"/>
      <c r="AD58" s="75"/>
      <c r="AE58" s="75"/>
      <c r="AF58" s="75"/>
      <c r="AG58" s="75"/>
      <c r="AH58" s="75"/>
      <c r="AI58" s="75"/>
      <c r="AJ58" s="81"/>
      <c r="AK58" s="75"/>
      <c r="AL58" s="75"/>
    </row>
    <row r="59" spans="1:38" ht="15.75" hidden="1" thickBot="1" x14ac:dyDescent="0.3">
      <c r="A59" s="75"/>
      <c r="B59" s="75"/>
      <c r="C59" s="35">
        <f>INDEX(Données!$F$2:$L$54,MATCH(F59,Données!$F$2:$F$54,0),2)</f>
        <v>43885</v>
      </c>
      <c r="D59" s="29" t="str">
        <f t="shared" si="0"/>
        <v>#6</v>
      </c>
      <c r="E59" s="7">
        <f>Données!J10</f>
        <v>43888</v>
      </c>
      <c r="F59" s="6" t="str">
        <f>INDEX(Données!$F$2:$L$54,MATCH('#6'!E59,Données!$G$2:$G$54,1),1)</f>
        <v>9</v>
      </c>
      <c r="G59" s="18" t="str">
        <f t="shared" si="1"/>
        <v>S.O.</v>
      </c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1"/>
      <c r="W59" s="75"/>
      <c r="X59" s="75"/>
      <c r="Y59" s="75"/>
      <c r="Z59" s="96">
        <f>SUM(Tableau17[[#This Row],[A-1]:[G-5]])</f>
        <v>0</v>
      </c>
      <c r="AA59" s="96" t="str">
        <f>IF(AND(Z59&gt;0,Tableau17[[#This Row],[CDS]]=""),"Oui","Non")</f>
        <v>Non</v>
      </c>
      <c r="AB59" s="75"/>
      <c r="AC59" s="75"/>
      <c r="AD59" s="75"/>
      <c r="AE59" s="75"/>
      <c r="AF59" s="75"/>
      <c r="AG59" s="75"/>
      <c r="AH59" s="75"/>
      <c r="AI59" s="75"/>
      <c r="AJ59" s="81"/>
      <c r="AK59" s="75"/>
      <c r="AL59" s="75"/>
    </row>
    <row r="60" spans="1:38" ht="15.75" hidden="1" thickBot="1" x14ac:dyDescent="0.3">
      <c r="A60" s="75"/>
      <c r="B60" s="75"/>
      <c r="C60" s="35">
        <f>INDEX(Données!$F$2:$L$54,MATCH(F60,Données!$F$2:$F$54,0),2)</f>
        <v>43885</v>
      </c>
      <c r="D60" s="29" t="str">
        <f t="shared" si="0"/>
        <v>#6</v>
      </c>
      <c r="E60" s="7">
        <f>Données!K10</f>
        <v>43889</v>
      </c>
      <c r="F60" s="6" t="str">
        <f>INDEX(Données!$F$2:$L$54,MATCH('#6'!E60,Données!$G$2:$G$54,1),1)</f>
        <v>9</v>
      </c>
      <c r="G60" s="18" t="str">
        <f t="shared" si="1"/>
        <v>S.O.</v>
      </c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1"/>
      <c r="W60" s="75"/>
      <c r="X60" s="75"/>
      <c r="Y60" s="75"/>
      <c r="Z60" s="96">
        <f>SUM(Tableau17[[#This Row],[A-1]:[G-5]])</f>
        <v>0</v>
      </c>
      <c r="AA60" s="96" t="str">
        <f>IF(AND(Z60&gt;0,Tableau17[[#This Row],[CDS]]=""),"Oui","Non")</f>
        <v>Non</v>
      </c>
      <c r="AB60" s="75"/>
      <c r="AC60" s="75"/>
      <c r="AD60" s="75"/>
      <c r="AE60" s="75"/>
      <c r="AF60" s="75"/>
      <c r="AG60" s="75"/>
      <c r="AH60" s="75"/>
      <c r="AI60" s="75"/>
      <c r="AJ60" s="81"/>
      <c r="AK60" s="75"/>
      <c r="AL60" s="75"/>
    </row>
    <row r="61" spans="1:38" ht="15.75" hidden="1" thickBot="1" x14ac:dyDescent="0.3">
      <c r="A61" s="75"/>
      <c r="B61" s="75"/>
      <c r="C61" s="35">
        <f>INDEX(Données!$F$2:$L$54,MATCH(F61,Données!$F$2:$F$54,0),2)</f>
        <v>43885</v>
      </c>
      <c r="D61" s="29" t="str">
        <f t="shared" si="0"/>
        <v>#6</v>
      </c>
      <c r="E61" s="7">
        <f>Données!L10</f>
        <v>43890</v>
      </c>
      <c r="F61" s="6" t="str">
        <f>INDEX(Données!$F$2:$L$54,MATCH('#6'!E61,Données!$G$2:$G$54,1),1)</f>
        <v>9</v>
      </c>
      <c r="G61" s="18" t="str">
        <f t="shared" si="1"/>
        <v>S.O.</v>
      </c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1"/>
      <c r="W61" s="75"/>
      <c r="X61" s="75"/>
      <c r="Y61" s="75"/>
      <c r="Z61" s="96">
        <f>SUM(Tableau17[[#This Row],[A-1]:[G-5]])</f>
        <v>0</v>
      </c>
      <c r="AA61" s="96" t="str">
        <f>IF(AND(Z61&gt;0,Tableau17[[#This Row],[CDS]]=""),"Oui","Non")</f>
        <v>Non</v>
      </c>
      <c r="AB61" s="75"/>
      <c r="AC61" s="75"/>
      <c r="AD61" s="75"/>
      <c r="AE61" s="75"/>
      <c r="AF61" s="75"/>
      <c r="AG61" s="75"/>
      <c r="AH61" s="75"/>
      <c r="AI61" s="75"/>
      <c r="AJ61" s="81"/>
      <c r="AK61" s="75"/>
      <c r="AL61" s="75"/>
    </row>
    <row r="62" spans="1:38" ht="15.75" hidden="1" thickBot="1" x14ac:dyDescent="0.3">
      <c r="A62" s="75"/>
      <c r="B62" s="75"/>
      <c r="C62" s="35">
        <f>INDEX(Données!$F$2:$L$54,MATCH(F62,Données!$F$2:$F$54,0),2)</f>
        <v>43892</v>
      </c>
      <c r="D62" s="29" t="str">
        <f t="shared" si="0"/>
        <v>#6</v>
      </c>
      <c r="E62" s="7">
        <f>Données!G11</f>
        <v>43892</v>
      </c>
      <c r="F62" s="6" t="str">
        <f>INDEX(Données!$F$2:$L$54,MATCH('#6'!E62,Données!$G$2:$G$54,1),1)</f>
        <v>10</v>
      </c>
      <c r="G62" s="18" t="str">
        <f t="shared" si="1"/>
        <v>S.O.</v>
      </c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1"/>
      <c r="W62" s="75"/>
      <c r="X62" s="75"/>
      <c r="Y62" s="75"/>
      <c r="Z62" s="96">
        <f>SUM(Tableau17[[#This Row],[A-1]:[G-5]])</f>
        <v>0</v>
      </c>
      <c r="AA62" s="96" t="str">
        <f>IF(AND(Z62&gt;0,Tableau17[[#This Row],[CDS]]=""),"Oui","Non")</f>
        <v>Non</v>
      </c>
      <c r="AB62" s="75"/>
      <c r="AC62" s="75"/>
      <c r="AD62" s="75"/>
      <c r="AE62" s="75"/>
      <c r="AF62" s="75"/>
      <c r="AG62" s="75"/>
      <c r="AH62" s="75"/>
      <c r="AI62" s="75"/>
      <c r="AJ62" s="81"/>
      <c r="AK62" s="75"/>
      <c r="AL62" s="75"/>
    </row>
    <row r="63" spans="1:38" ht="15.75" hidden="1" thickBot="1" x14ac:dyDescent="0.3">
      <c r="A63" s="75"/>
      <c r="B63" s="75"/>
      <c r="C63" s="35">
        <f>INDEX(Données!$F$2:$L$54,MATCH(F63,Données!$F$2:$F$54,0),2)</f>
        <v>43892</v>
      </c>
      <c r="D63" s="29" t="str">
        <f t="shared" si="0"/>
        <v>#6</v>
      </c>
      <c r="E63" s="7">
        <f>Données!H11</f>
        <v>43893</v>
      </c>
      <c r="F63" s="6" t="str">
        <f>INDEX(Données!$F$2:$L$54,MATCH('#6'!E63,Données!$G$2:$G$54,1),1)</f>
        <v>10</v>
      </c>
      <c r="G63" s="18" t="str">
        <f t="shared" si="1"/>
        <v>S.O.</v>
      </c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1"/>
      <c r="W63" s="75"/>
      <c r="X63" s="75"/>
      <c r="Y63" s="75"/>
      <c r="Z63" s="96">
        <f>SUM(Tableau17[[#This Row],[A-1]:[G-5]])</f>
        <v>0</v>
      </c>
      <c r="AA63" s="96" t="str">
        <f>IF(AND(Z63&gt;0,Tableau17[[#This Row],[CDS]]=""),"Oui","Non")</f>
        <v>Non</v>
      </c>
      <c r="AB63" s="75"/>
      <c r="AC63" s="75"/>
      <c r="AD63" s="75"/>
      <c r="AE63" s="75"/>
      <c r="AF63" s="75"/>
      <c r="AG63" s="75"/>
      <c r="AH63" s="75"/>
      <c r="AI63" s="75"/>
      <c r="AJ63" s="81"/>
      <c r="AK63" s="75"/>
      <c r="AL63" s="75"/>
    </row>
    <row r="64" spans="1:38" ht="15.75" hidden="1" thickBot="1" x14ac:dyDescent="0.3">
      <c r="A64" s="75"/>
      <c r="B64" s="75"/>
      <c r="C64" s="35">
        <f>INDEX(Données!$F$2:$L$54,MATCH(F64,Données!$F$2:$F$54,0),2)</f>
        <v>43892</v>
      </c>
      <c r="D64" s="29" t="str">
        <f t="shared" si="0"/>
        <v>#6</v>
      </c>
      <c r="E64" s="7">
        <f>Données!I11</f>
        <v>43894</v>
      </c>
      <c r="F64" s="6" t="str">
        <f>INDEX(Données!$F$2:$L$54,MATCH('#6'!E64,Données!$G$2:$G$54,1),1)</f>
        <v>10</v>
      </c>
      <c r="G64" s="18" t="str">
        <f t="shared" si="1"/>
        <v>S.O.</v>
      </c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1"/>
      <c r="W64" s="75"/>
      <c r="X64" s="75"/>
      <c r="Y64" s="75"/>
      <c r="Z64" s="96">
        <f>SUM(Tableau17[[#This Row],[A-1]:[G-5]])</f>
        <v>0</v>
      </c>
      <c r="AA64" s="96" t="str">
        <f>IF(AND(Z64&gt;0,Tableau17[[#This Row],[CDS]]=""),"Oui","Non")</f>
        <v>Non</v>
      </c>
      <c r="AB64" s="75"/>
      <c r="AC64" s="75"/>
      <c r="AD64" s="75"/>
      <c r="AE64" s="75"/>
      <c r="AF64" s="75"/>
      <c r="AG64" s="75"/>
      <c r="AH64" s="75"/>
      <c r="AI64" s="75"/>
      <c r="AJ64" s="81"/>
      <c r="AK64" s="75"/>
      <c r="AL64" s="75"/>
    </row>
    <row r="65" spans="1:38" ht="15.75" hidden="1" thickBot="1" x14ac:dyDescent="0.3">
      <c r="A65" s="75"/>
      <c r="B65" s="75"/>
      <c r="C65" s="35">
        <f>INDEX(Données!$F$2:$L$54,MATCH(F65,Données!$F$2:$F$54,0),2)</f>
        <v>43892</v>
      </c>
      <c r="D65" s="29" t="str">
        <f t="shared" si="0"/>
        <v>#6</v>
      </c>
      <c r="E65" s="7">
        <f>Données!J11</f>
        <v>43895</v>
      </c>
      <c r="F65" s="6" t="str">
        <f>INDEX(Données!$F$2:$L$54,MATCH('#6'!E65,Données!$G$2:$G$54,1),1)</f>
        <v>10</v>
      </c>
      <c r="G65" s="18" t="str">
        <f t="shared" si="1"/>
        <v>S.O.</v>
      </c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1"/>
      <c r="W65" s="75"/>
      <c r="X65" s="75"/>
      <c r="Y65" s="75"/>
      <c r="Z65" s="96">
        <f>SUM(Tableau17[[#This Row],[A-1]:[G-5]])</f>
        <v>0</v>
      </c>
      <c r="AA65" s="96" t="str">
        <f>IF(AND(Z65&gt;0,Tableau17[[#This Row],[CDS]]=""),"Oui","Non")</f>
        <v>Non</v>
      </c>
      <c r="AB65" s="75"/>
      <c r="AC65" s="75"/>
      <c r="AD65" s="75"/>
      <c r="AE65" s="75"/>
      <c r="AF65" s="75"/>
      <c r="AG65" s="75"/>
      <c r="AH65" s="75"/>
      <c r="AI65" s="75"/>
      <c r="AJ65" s="81"/>
      <c r="AK65" s="75"/>
      <c r="AL65" s="75"/>
    </row>
    <row r="66" spans="1:38" ht="15.75" hidden="1" thickBot="1" x14ac:dyDescent="0.3">
      <c r="A66" s="75"/>
      <c r="B66" s="75"/>
      <c r="C66" s="35">
        <f>INDEX(Données!$F$2:$L$54,MATCH(F66,Données!$F$2:$F$54,0),2)</f>
        <v>43892</v>
      </c>
      <c r="D66" s="29" t="str">
        <f t="shared" si="0"/>
        <v>#6</v>
      </c>
      <c r="E66" s="7">
        <f>Données!K11</f>
        <v>43896</v>
      </c>
      <c r="F66" s="6" t="str">
        <f>INDEX(Données!$F$2:$L$54,MATCH('#6'!E66,Données!$G$2:$G$54,1),1)</f>
        <v>10</v>
      </c>
      <c r="G66" s="18" t="str">
        <f t="shared" si="1"/>
        <v>S.O.</v>
      </c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1"/>
      <c r="W66" s="75"/>
      <c r="X66" s="75"/>
      <c r="Y66" s="75"/>
      <c r="Z66" s="96">
        <f>SUM(Tableau17[[#This Row],[A-1]:[G-5]])</f>
        <v>0</v>
      </c>
      <c r="AA66" s="96" t="str">
        <f>IF(AND(Z66&gt;0,Tableau17[[#This Row],[CDS]]=""),"Oui","Non")</f>
        <v>Non</v>
      </c>
      <c r="AB66" s="75"/>
      <c r="AC66" s="75"/>
      <c r="AD66" s="75"/>
      <c r="AE66" s="75"/>
      <c r="AF66" s="75"/>
      <c r="AG66" s="75"/>
      <c r="AH66" s="75"/>
      <c r="AI66" s="75"/>
      <c r="AJ66" s="81"/>
      <c r="AK66" s="75"/>
      <c r="AL66" s="75"/>
    </row>
    <row r="67" spans="1:38" ht="15.75" hidden="1" thickBot="1" x14ac:dyDescent="0.3">
      <c r="A67" s="75"/>
      <c r="B67" s="75"/>
      <c r="C67" s="35">
        <f>INDEX(Données!$F$2:$L$54,MATCH(F67,Données!$F$2:$F$54,0),2)</f>
        <v>43892</v>
      </c>
      <c r="D67" s="29" t="str">
        <f t="shared" si="0"/>
        <v>#6</v>
      </c>
      <c r="E67" s="7">
        <f>Données!L11</f>
        <v>43897</v>
      </c>
      <c r="F67" s="6" t="str">
        <f>INDEX(Données!$F$2:$L$54,MATCH('#6'!E67,Données!$G$2:$G$54,1),1)</f>
        <v>10</v>
      </c>
      <c r="G67" s="18" t="str">
        <f t="shared" si="1"/>
        <v>S.O.</v>
      </c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1"/>
      <c r="W67" s="75"/>
      <c r="X67" s="75"/>
      <c r="Y67" s="75"/>
      <c r="Z67" s="96">
        <f>SUM(Tableau17[[#This Row],[A-1]:[G-5]])</f>
        <v>0</v>
      </c>
      <c r="AA67" s="96" t="str">
        <f>IF(AND(Z67&gt;0,Tableau17[[#This Row],[CDS]]=""),"Oui","Non")</f>
        <v>Non</v>
      </c>
      <c r="AB67" s="75"/>
      <c r="AC67" s="75"/>
      <c r="AD67" s="75"/>
      <c r="AE67" s="75"/>
      <c r="AF67" s="75"/>
      <c r="AG67" s="75"/>
      <c r="AH67" s="75"/>
      <c r="AI67" s="75"/>
      <c r="AJ67" s="81"/>
      <c r="AK67" s="75"/>
      <c r="AL67" s="75"/>
    </row>
    <row r="68" spans="1:38" ht="15.75" hidden="1" thickBot="1" x14ac:dyDescent="0.3">
      <c r="A68" s="75"/>
      <c r="B68" s="75"/>
      <c r="C68" s="35">
        <f>INDEX(Données!$F$2:$L$54,MATCH(F68,Données!$F$2:$F$54,0),2)</f>
        <v>43899</v>
      </c>
      <c r="D68" s="29" t="str">
        <f t="shared" si="0"/>
        <v>#6</v>
      </c>
      <c r="E68" s="7">
        <f>Données!G12</f>
        <v>43899</v>
      </c>
      <c r="F68" s="6" t="str">
        <f>INDEX(Données!$F$2:$L$54,MATCH('#6'!E68,Données!$G$2:$G$54,1),1)</f>
        <v>11</v>
      </c>
      <c r="G68" s="18" t="str">
        <f t="shared" si="1"/>
        <v>S.O.</v>
      </c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1"/>
      <c r="W68" s="75"/>
      <c r="X68" s="75"/>
      <c r="Y68" s="75"/>
      <c r="Z68" s="96">
        <f>SUM(Tableau17[[#This Row],[A-1]:[G-5]])</f>
        <v>0</v>
      </c>
      <c r="AA68" s="96" t="str">
        <f>IF(AND(Z68&gt;0,Tableau17[[#This Row],[CDS]]=""),"Oui","Non")</f>
        <v>Non</v>
      </c>
      <c r="AB68" s="75"/>
      <c r="AC68" s="75"/>
      <c r="AD68" s="75"/>
      <c r="AE68" s="75"/>
      <c r="AF68" s="75"/>
      <c r="AG68" s="75"/>
      <c r="AH68" s="75"/>
      <c r="AI68" s="75"/>
      <c r="AJ68" s="81"/>
      <c r="AK68" s="75"/>
      <c r="AL68" s="75"/>
    </row>
    <row r="69" spans="1:38" ht="15.75" hidden="1" thickBot="1" x14ac:dyDescent="0.3">
      <c r="A69" s="75"/>
      <c r="B69" s="75"/>
      <c r="C69" s="35">
        <f>INDEX(Données!$F$2:$L$54,MATCH(F69,Données!$F$2:$F$54,0),2)</f>
        <v>43899</v>
      </c>
      <c r="D69" s="29" t="str">
        <f t="shared" si="0"/>
        <v>#6</v>
      </c>
      <c r="E69" s="7">
        <f>Données!H12</f>
        <v>43900</v>
      </c>
      <c r="F69" s="6" t="str">
        <f>INDEX(Données!$F$2:$L$54,MATCH('#6'!E69,Données!$G$2:$G$54,1),1)</f>
        <v>11</v>
      </c>
      <c r="G69" s="18" t="str">
        <f t="shared" si="1"/>
        <v>S.O.</v>
      </c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1"/>
      <c r="W69" s="75"/>
      <c r="X69" s="75"/>
      <c r="Y69" s="75"/>
      <c r="Z69" s="96">
        <f>SUM(Tableau17[[#This Row],[A-1]:[G-5]])</f>
        <v>0</v>
      </c>
      <c r="AA69" s="96" t="str">
        <f>IF(AND(Z69&gt;0,Tableau17[[#This Row],[CDS]]=""),"Oui","Non")</f>
        <v>Non</v>
      </c>
      <c r="AB69" s="75"/>
      <c r="AC69" s="75"/>
      <c r="AD69" s="75"/>
      <c r="AE69" s="75"/>
      <c r="AF69" s="75"/>
      <c r="AG69" s="75"/>
      <c r="AH69" s="75"/>
      <c r="AI69" s="75"/>
      <c r="AJ69" s="81"/>
      <c r="AK69" s="75"/>
      <c r="AL69" s="75"/>
    </row>
    <row r="70" spans="1:38" ht="15.75" hidden="1" thickBot="1" x14ac:dyDescent="0.3">
      <c r="A70" s="75"/>
      <c r="B70" s="75"/>
      <c r="C70" s="35">
        <f>INDEX(Données!$F$2:$L$54,MATCH(F70,Données!$F$2:$F$54,0),2)</f>
        <v>43899</v>
      </c>
      <c r="D70" s="29" t="str">
        <f t="shared" si="0"/>
        <v>#6</v>
      </c>
      <c r="E70" s="7">
        <f>Données!I12</f>
        <v>43901</v>
      </c>
      <c r="F70" s="6" t="str">
        <f>INDEX(Données!$F$2:$L$54,MATCH('#6'!E70,Données!$G$2:$G$54,1),1)</f>
        <v>11</v>
      </c>
      <c r="G70" s="18" t="str">
        <f t="shared" si="1"/>
        <v>S.O.</v>
      </c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1"/>
      <c r="W70" s="75"/>
      <c r="X70" s="75"/>
      <c r="Y70" s="75"/>
      <c r="Z70" s="96">
        <f>SUM(Tableau17[[#This Row],[A-1]:[G-5]])</f>
        <v>0</v>
      </c>
      <c r="AA70" s="96" t="str">
        <f>IF(AND(Z70&gt;0,Tableau17[[#This Row],[CDS]]=""),"Oui","Non")</f>
        <v>Non</v>
      </c>
      <c r="AB70" s="75"/>
      <c r="AC70" s="75"/>
      <c r="AD70" s="75"/>
      <c r="AE70" s="75"/>
      <c r="AF70" s="75"/>
      <c r="AG70" s="75"/>
      <c r="AH70" s="75"/>
      <c r="AI70" s="75"/>
      <c r="AJ70" s="81"/>
      <c r="AK70" s="75"/>
      <c r="AL70" s="75"/>
    </row>
    <row r="71" spans="1:38" ht="15.75" hidden="1" thickBot="1" x14ac:dyDescent="0.3">
      <c r="A71" s="75"/>
      <c r="B71" s="75"/>
      <c r="C71" s="35">
        <f>INDEX(Données!$F$2:$L$54,MATCH(F71,Données!$F$2:$F$54,0),2)</f>
        <v>43899</v>
      </c>
      <c r="D71" s="29" t="str">
        <f t="shared" si="0"/>
        <v>#6</v>
      </c>
      <c r="E71" s="7">
        <f>Données!J12</f>
        <v>43902</v>
      </c>
      <c r="F71" s="6" t="str">
        <f>INDEX(Données!$F$2:$L$54,MATCH('#6'!E71,Données!$G$2:$G$54,1),1)</f>
        <v>11</v>
      </c>
      <c r="G71" s="18" t="str">
        <f t="shared" si="1"/>
        <v>S.O.</v>
      </c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1"/>
      <c r="W71" s="75"/>
      <c r="X71" s="75"/>
      <c r="Y71" s="75"/>
      <c r="Z71" s="96">
        <f>SUM(Tableau17[[#This Row],[A-1]:[G-5]])</f>
        <v>0</v>
      </c>
      <c r="AA71" s="96" t="str">
        <f>IF(AND(Z71&gt;0,Tableau17[[#This Row],[CDS]]=""),"Oui","Non")</f>
        <v>Non</v>
      </c>
      <c r="AB71" s="75"/>
      <c r="AC71" s="75"/>
      <c r="AD71" s="75"/>
      <c r="AE71" s="75"/>
      <c r="AF71" s="75"/>
      <c r="AG71" s="75"/>
      <c r="AH71" s="75"/>
      <c r="AI71" s="75"/>
      <c r="AJ71" s="81"/>
      <c r="AK71" s="75"/>
      <c r="AL71" s="75"/>
    </row>
    <row r="72" spans="1:38" ht="15.75" hidden="1" thickBot="1" x14ac:dyDescent="0.3">
      <c r="A72" s="75"/>
      <c r="B72" s="75"/>
      <c r="C72" s="35">
        <f>INDEX(Données!$F$2:$L$54,MATCH(F72,Données!$F$2:$F$54,0),2)</f>
        <v>43899</v>
      </c>
      <c r="D72" s="29" t="str">
        <f t="shared" ref="D72:D135" si="2">$E$4</f>
        <v>#6</v>
      </c>
      <c r="E72" s="7">
        <f>Données!K12</f>
        <v>43903</v>
      </c>
      <c r="F72" s="6" t="str">
        <f>INDEX(Données!$F$2:$L$54,MATCH('#6'!E72,Données!$G$2:$G$54,1),1)</f>
        <v>11</v>
      </c>
      <c r="G72" s="18" t="str">
        <f t="shared" ref="G72:G135" si="3">IF(AND($V$5=1),"PS-1",IF(AND($V$5=2),"PS-2",IF(AND($V$5=4),"PS-4",IF(AND($V$5=6),"S.O.",IF(AND($V$5=5),"")))))</f>
        <v>S.O.</v>
      </c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1"/>
      <c r="W72" s="75"/>
      <c r="X72" s="75"/>
      <c r="Y72" s="75"/>
      <c r="Z72" s="96">
        <f>SUM(Tableau17[[#This Row],[A-1]:[G-5]])</f>
        <v>0</v>
      </c>
      <c r="AA72" s="96" t="str">
        <f>IF(AND(Z72&gt;0,Tableau17[[#This Row],[CDS]]=""),"Oui","Non")</f>
        <v>Non</v>
      </c>
      <c r="AB72" s="75"/>
      <c r="AC72" s="75"/>
      <c r="AD72" s="75"/>
      <c r="AE72" s="75"/>
      <c r="AF72" s="75"/>
      <c r="AG72" s="75"/>
      <c r="AH72" s="75"/>
      <c r="AI72" s="75"/>
      <c r="AJ72" s="81"/>
      <c r="AK72" s="75"/>
      <c r="AL72" s="75"/>
    </row>
    <row r="73" spans="1:38" ht="15.75" hidden="1" thickBot="1" x14ac:dyDescent="0.3">
      <c r="A73" s="75"/>
      <c r="B73" s="75"/>
      <c r="C73" s="35">
        <f>INDEX(Données!$F$2:$L$54,MATCH(F73,Données!$F$2:$F$54,0),2)</f>
        <v>43899</v>
      </c>
      <c r="D73" s="29" t="str">
        <f t="shared" si="2"/>
        <v>#6</v>
      </c>
      <c r="E73" s="7">
        <f>Données!L12</f>
        <v>43904</v>
      </c>
      <c r="F73" s="6" t="str">
        <f>INDEX(Données!$F$2:$L$54,MATCH('#6'!E73,Données!$G$2:$G$54,1),1)</f>
        <v>11</v>
      </c>
      <c r="G73" s="18" t="str">
        <f t="shared" si="3"/>
        <v>S.O.</v>
      </c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1"/>
      <c r="W73" s="75"/>
      <c r="X73" s="75"/>
      <c r="Y73" s="75"/>
      <c r="Z73" s="96">
        <f>SUM(Tableau17[[#This Row],[A-1]:[G-5]])</f>
        <v>0</v>
      </c>
      <c r="AA73" s="96" t="str">
        <f>IF(AND(Z73&gt;0,Tableau17[[#This Row],[CDS]]=""),"Oui","Non")</f>
        <v>Non</v>
      </c>
      <c r="AB73" s="75"/>
      <c r="AC73" s="75"/>
      <c r="AD73" s="75"/>
      <c r="AE73" s="75"/>
      <c r="AF73" s="75"/>
      <c r="AG73" s="75"/>
      <c r="AH73" s="75"/>
      <c r="AI73" s="75"/>
      <c r="AJ73" s="81"/>
      <c r="AK73" s="75"/>
      <c r="AL73" s="75"/>
    </row>
    <row r="74" spans="1:38" ht="15.75" hidden="1" thickBot="1" x14ac:dyDescent="0.3">
      <c r="A74" s="75"/>
      <c r="B74" s="75"/>
      <c r="C74" s="35">
        <f>INDEX(Données!$F$2:$L$54,MATCH(F74,Données!$F$2:$F$54,0),2)</f>
        <v>43906</v>
      </c>
      <c r="D74" s="29" t="str">
        <f t="shared" si="2"/>
        <v>#6</v>
      </c>
      <c r="E74" s="7">
        <f>Données!G13</f>
        <v>43906</v>
      </c>
      <c r="F74" s="6" t="str">
        <f>INDEX(Données!$F$2:$L$54,MATCH('#6'!E74,Données!$G$2:$G$54,1),1)</f>
        <v>12</v>
      </c>
      <c r="G74" s="18" t="str">
        <f t="shared" si="3"/>
        <v>S.O.</v>
      </c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1"/>
      <c r="W74" s="75"/>
      <c r="X74" s="75"/>
      <c r="Y74" s="75"/>
      <c r="Z74" s="96">
        <f>SUM(Tableau17[[#This Row],[A-1]:[G-5]])</f>
        <v>0</v>
      </c>
      <c r="AA74" s="96" t="str">
        <f>IF(AND(Z74&gt;0,Tableau17[[#This Row],[CDS]]=""),"Oui","Non")</f>
        <v>Non</v>
      </c>
      <c r="AB74" s="75"/>
      <c r="AC74" s="75"/>
      <c r="AD74" s="75"/>
      <c r="AE74" s="75"/>
      <c r="AF74" s="75"/>
      <c r="AG74" s="75"/>
      <c r="AH74" s="75"/>
      <c r="AI74" s="75"/>
      <c r="AJ74" s="81"/>
      <c r="AK74" s="75"/>
      <c r="AL74" s="75"/>
    </row>
    <row r="75" spans="1:38" ht="15.75" hidden="1" thickBot="1" x14ac:dyDescent="0.3">
      <c r="A75" s="75"/>
      <c r="B75" s="75"/>
      <c r="C75" s="35">
        <f>INDEX(Données!$F$2:$L$54,MATCH(F75,Données!$F$2:$F$54,0),2)</f>
        <v>43906</v>
      </c>
      <c r="D75" s="29" t="str">
        <f t="shared" si="2"/>
        <v>#6</v>
      </c>
      <c r="E75" s="7">
        <f>Données!H13</f>
        <v>43907</v>
      </c>
      <c r="F75" s="6" t="str">
        <f>INDEX(Données!$F$2:$L$54,MATCH('#6'!E75,Données!$G$2:$G$54,1),1)</f>
        <v>12</v>
      </c>
      <c r="G75" s="18" t="str">
        <f t="shared" si="3"/>
        <v>S.O.</v>
      </c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1"/>
      <c r="W75" s="75"/>
      <c r="X75" s="75"/>
      <c r="Y75" s="75"/>
      <c r="Z75" s="96">
        <f>SUM(Tableau17[[#This Row],[A-1]:[G-5]])</f>
        <v>0</v>
      </c>
      <c r="AA75" s="96" t="str">
        <f>IF(AND(Z75&gt;0,Tableau17[[#This Row],[CDS]]=""),"Oui","Non")</f>
        <v>Non</v>
      </c>
      <c r="AB75" s="75"/>
      <c r="AC75" s="75"/>
      <c r="AD75" s="75"/>
      <c r="AE75" s="75"/>
      <c r="AF75" s="75"/>
      <c r="AG75" s="75"/>
      <c r="AH75" s="75"/>
      <c r="AI75" s="75"/>
      <c r="AJ75" s="81"/>
      <c r="AK75" s="75"/>
      <c r="AL75" s="75"/>
    </row>
    <row r="76" spans="1:38" ht="15.75" hidden="1" thickBot="1" x14ac:dyDescent="0.3">
      <c r="A76" s="75"/>
      <c r="B76" s="75"/>
      <c r="C76" s="35">
        <f>INDEX(Données!$F$2:$L$54,MATCH(F76,Données!$F$2:$F$54,0),2)</f>
        <v>43906</v>
      </c>
      <c r="D76" s="29" t="str">
        <f t="shared" si="2"/>
        <v>#6</v>
      </c>
      <c r="E76" s="7">
        <f>Données!I13</f>
        <v>43908</v>
      </c>
      <c r="F76" s="6" t="str">
        <f>INDEX(Données!$F$2:$L$54,MATCH('#6'!E76,Données!$G$2:$G$54,1),1)</f>
        <v>12</v>
      </c>
      <c r="G76" s="18" t="str">
        <f t="shared" si="3"/>
        <v>S.O.</v>
      </c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1"/>
      <c r="W76" s="75"/>
      <c r="X76" s="75"/>
      <c r="Y76" s="75"/>
      <c r="Z76" s="96">
        <f>SUM(Tableau17[[#This Row],[A-1]:[G-5]])</f>
        <v>0</v>
      </c>
      <c r="AA76" s="96" t="str">
        <f>IF(AND(Z76&gt;0,Tableau17[[#This Row],[CDS]]=""),"Oui","Non")</f>
        <v>Non</v>
      </c>
      <c r="AB76" s="75"/>
      <c r="AC76" s="75"/>
      <c r="AD76" s="75"/>
      <c r="AE76" s="75"/>
      <c r="AF76" s="75"/>
      <c r="AG76" s="75"/>
      <c r="AH76" s="75"/>
      <c r="AI76" s="75"/>
      <c r="AJ76" s="81"/>
      <c r="AK76" s="75"/>
      <c r="AL76" s="75"/>
    </row>
    <row r="77" spans="1:38" ht="15.75" hidden="1" thickBot="1" x14ac:dyDescent="0.3">
      <c r="A77" s="75"/>
      <c r="B77" s="75"/>
      <c r="C77" s="35">
        <f>INDEX(Données!$F$2:$L$54,MATCH(F77,Données!$F$2:$F$54,0),2)</f>
        <v>43906</v>
      </c>
      <c r="D77" s="29" t="str">
        <f t="shared" si="2"/>
        <v>#6</v>
      </c>
      <c r="E77" s="7">
        <f>Données!J13</f>
        <v>43909</v>
      </c>
      <c r="F77" s="6" t="str">
        <f>INDEX(Données!$F$2:$L$54,MATCH('#6'!E77,Données!$G$2:$G$54,1),1)</f>
        <v>12</v>
      </c>
      <c r="G77" s="18" t="str">
        <f t="shared" si="3"/>
        <v>S.O.</v>
      </c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1"/>
      <c r="W77" s="75"/>
      <c r="X77" s="75"/>
      <c r="Y77" s="75"/>
      <c r="Z77" s="96">
        <f>SUM(Tableau17[[#This Row],[A-1]:[G-5]])</f>
        <v>0</v>
      </c>
      <c r="AA77" s="96" t="str">
        <f>IF(AND(Z77&gt;0,Tableau17[[#This Row],[CDS]]=""),"Oui","Non")</f>
        <v>Non</v>
      </c>
      <c r="AB77" s="75"/>
      <c r="AC77" s="75"/>
      <c r="AD77" s="75"/>
      <c r="AE77" s="75"/>
      <c r="AF77" s="75"/>
      <c r="AG77" s="75"/>
      <c r="AH77" s="75"/>
      <c r="AI77" s="75"/>
      <c r="AJ77" s="81"/>
      <c r="AK77" s="75"/>
      <c r="AL77" s="75"/>
    </row>
    <row r="78" spans="1:38" ht="15.75" hidden="1" thickBot="1" x14ac:dyDescent="0.3">
      <c r="A78" s="75"/>
      <c r="B78" s="75"/>
      <c r="C78" s="35">
        <f>INDEX(Données!$F$2:$L$54,MATCH(F78,Données!$F$2:$F$54,0),2)</f>
        <v>43906</v>
      </c>
      <c r="D78" s="29" t="str">
        <f t="shared" si="2"/>
        <v>#6</v>
      </c>
      <c r="E78" s="7">
        <f>Données!K13</f>
        <v>43910</v>
      </c>
      <c r="F78" s="6" t="str">
        <f>INDEX(Données!$F$2:$L$54,MATCH('#6'!E78,Données!$G$2:$G$54,1),1)</f>
        <v>12</v>
      </c>
      <c r="G78" s="18" t="str">
        <f t="shared" si="3"/>
        <v>S.O.</v>
      </c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1"/>
      <c r="W78" s="75"/>
      <c r="X78" s="75"/>
      <c r="Y78" s="75"/>
      <c r="Z78" s="96">
        <f>SUM(Tableau17[[#This Row],[A-1]:[G-5]])</f>
        <v>0</v>
      </c>
      <c r="AA78" s="96" t="str">
        <f>IF(AND(Z78&gt;0,Tableau17[[#This Row],[CDS]]=""),"Oui","Non")</f>
        <v>Non</v>
      </c>
      <c r="AB78" s="75"/>
      <c r="AC78" s="75"/>
      <c r="AD78" s="75"/>
      <c r="AE78" s="75"/>
      <c r="AF78" s="75"/>
      <c r="AG78" s="75"/>
      <c r="AH78" s="75"/>
      <c r="AI78" s="75"/>
      <c r="AJ78" s="81"/>
      <c r="AK78" s="75"/>
      <c r="AL78" s="75"/>
    </row>
    <row r="79" spans="1:38" ht="15.75" hidden="1" thickBot="1" x14ac:dyDescent="0.3">
      <c r="A79" s="75"/>
      <c r="B79" s="75"/>
      <c r="C79" s="35">
        <f>INDEX(Données!$F$2:$L$54,MATCH(F79,Données!$F$2:$F$54,0),2)</f>
        <v>43906</v>
      </c>
      <c r="D79" s="29" t="str">
        <f t="shared" si="2"/>
        <v>#6</v>
      </c>
      <c r="E79" s="7">
        <f>Données!L13</f>
        <v>43911</v>
      </c>
      <c r="F79" s="6" t="str">
        <f>INDEX(Données!$F$2:$L$54,MATCH('#6'!E79,Données!$G$2:$G$54,1),1)</f>
        <v>12</v>
      </c>
      <c r="G79" s="18" t="str">
        <f t="shared" si="3"/>
        <v>S.O.</v>
      </c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1"/>
      <c r="W79" s="75"/>
      <c r="X79" s="75"/>
      <c r="Y79" s="75"/>
      <c r="Z79" s="96">
        <f>SUM(Tableau17[[#This Row],[A-1]:[G-5]])</f>
        <v>0</v>
      </c>
      <c r="AA79" s="96" t="str">
        <f>IF(AND(Z79&gt;0,Tableau17[[#This Row],[CDS]]=""),"Oui","Non")</f>
        <v>Non</v>
      </c>
      <c r="AB79" s="75"/>
      <c r="AC79" s="75"/>
      <c r="AD79" s="75"/>
      <c r="AE79" s="75"/>
      <c r="AF79" s="75"/>
      <c r="AG79" s="75"/>
      <c r="AH79" s="75"/>
      <c r="AI79" s="75"/>
      <c r="AJ79" s="81"/>
      <c r="AK79" s="75"/>
      <c r="AL79" s="75"/>
    </row>
    <row r="80" spans="1:38" ht="15.75" hidden="1" thickBot="1" x14ac:dyDescent="0.3">
      <c r="A80" s="75"/>
      <c r="B80" s="75"/>
      <c r="C80" s="35">
        <f>INDEX(Données!$F$2:$L$54,MATCH(F80,Données!$F$2:$F$54,0),2)</f>
        <v>43913</v>
      </c>
      <c r="D80" s="29" t="str">
        <f t="shared" si="2"/>
        <v>#6</v>
      </c>
      <c r="E80" s="7">
        <f>Données!G14</f>
        <v>43913</v>
      </c>
      <c r="F80" s="6" t="str">
        <f>INDEX(Données!$F$2:$L$54,MATCH('#6'!E80,Données!$G$2:$G$54,1),1)</f>
        <v>13</v>
      </c>
      <c r="G80" s="18" t="str">
        <f t="shared" si="3"/>
        <v>S.O.</v>
      </c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1"/>
      <c r="W80" s="75"/>
      <c r="X80" s="75"/>
      <c r="Y80" s="75"/>
      <c r="Z80" s="96">
        <f>SUM(Tableau17[[#This Row],[A-1]:[G-5]])</f>
        <v>0</v>
      </c>
      <c r="AA80" s="96" t="str">
        <f>IF(AND(Z80&gt;0,Tableau17[[#This Row],[CDS]]=""),"Oui","Non")</f>
        <v>Non</v>
      </c>
      <c r="AB80" s="75"/>
      <c r="AC80" s="75"/>
      <c r="AD80" s="75"/>
      <c r="AE80" s="75"/>
      <c r="AF80" s="75"/>
      <c r="AG80" s="75"/>
      <c r="AH80" s="75"/>
      <c r="AI80" s="75"/>
      <c r="AJ80" s="81"/>
      <c r="AK80" s="75"/>
      <c r="AL80" s="75"/>
    </row>
    <row r="81" spans="1:38" ht="15.75" hidden="1" thickBot="1" x14ac:dyDescent="0.3">
      <c r="A81" s="75"/>
      <c r="B81" s="75"/>
      <c r="C81" s="35">
        <f>INDEX(Données!$F$2:$L$54,MATCH(F81,Données!$F$2:$F$54,0),2)</f>
        <v>43913</v>
      </c>
      <c r="D81" s="29" t="str">
        <f t="shared" si="2"/>
        <v>#6</v>
      </c>
      <c r="E81" s="7">
        <f>Données!H14</f>
        <v>43914</v>
      </c>
      <c r="F81" s="6" t="str">
        <f>INDEX(Données!$F$2:$L$54,MATCH('#6'!E81,Données!$G$2:$G$54,1),1)</f>
        <v>13</v>
      </c>
      <c r="G81" s="18" t="str">
        <f t="shared" si="3"/>
        <v>S.O.</v>
      </c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1"/>
      <c r="W81" s="75"/>
      <c r="X81" s="75"/>
      <c r="Y81" s="75"/>
      <c r="Z81" s="96">
        <f>SUM(Tableau17[[#This Row],[A-1]:[G-5]])</f>
        <v>0</v>
      </c>
      <c r="AA81" s="96" t="str">
        <f>IF(AND(Z81&gt;0,Tableau17[[#This Row],[CDS]]=""),"Oui","Non")</f>
        <v>Non</v>
      </c>
      <c r="AB81" s="75"/>
      <c r="AC81" s="75"/>
      <c r="AD81" s="75"/>
      <c r="AE81" s="75"/>
      <c r="AF81" s="75"/>
      <c r="AG81" s="75"/>
      <c r="AH81" s="75"/>
      <c r="AI81" s="75"/>
      <c r="AJ81" s="81"/>
      <c r="AK81" s="75"/>
      <c r="AL81" s="75"/>
    </row>
    <row r="82" spans="1:38" ht="15.75" hidden="1" thickBot="1" x14ac:dyDescent="0.3">
      <c r="A82" s="75"/>
      <c r="B82" s="75"/>
      <c r="C82" s="35">
        <f>INDEX(Données!$F$2:$L$54,MATCH(F82,Données!$F$2:$F$54,0),2)</f>
        <v>43913</v>
      </c>
      <c r="D82" s="29" t="str">
        <f t="shared" si="2"/>
        <v>#6</v>
      </c>
      <c r="E82" s="7">
        <f>Données!I14</f>
        <v>43915</v>
      </c>
      <c r="F82" s="6" t="str">
        <f>INDEX(Données!$F$2:$L$54,MATCH('#6'!E82,Données!$G$2:$G$54,1),1)</f>
        <v>13</v>
      </c>
      <c r="G82" s="18" t="str">
        <f t="shared" si="3"/>
        <v>S.O.</v>
      </c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1"/>
      <c r="W82" s="75"/>
      <c r="X82" s="75"/>
      <c r="Y82" s="75"/>
      <c r="Z82" s="96">
        <f>SUM(Tableau17[[#This Row],[A-1]:[G-5]])</f>
        <v>0</v>
      </c>
      <c r="AA82" s="96" t="str">
        <f>IF(AND(Z82&gt;0,Tableau17[[#This Row],[CDS]]=""),"Oui","Non")</f>
        <v>Non</v>
      </c>
      <c r="AB82" s="75"/>
      <c r="AC82" s="75"/>
      <c r="AD82" s="75"/>
      <c r="AE82" s="75"/>
      <c r="AF82" s="75"/>
      <c r="AG82" s="75"/>
      <c r="AH82" s="75"/>
      <c r="AI82" s="75"/>
      <c r="AJ82" s="81"/>
      <c r="AK82" s="75"/>
      <c r="AL82" s="75"/>
    </row>
    <row r="83" spans="1:38" ht="15.75" hidden="1" thickBot="1" x14ac:dyDescent="0.3">
      <c r="A83" s="75"/>
      <c r="B83" s="75"/>
      <c r="C83" s="35">
        <f>INDEX(Données!$F$2:$L$54,MATCH(F83,Données!$F$2:$F$54,0),2)</f>
        <v>43913</v>
      </c>
      <c r="D83" s="29" t="str">
        <f t="shared" si="2"/>
        <v>#6</v>
      </c>
      <c r="E83" s="7">
        <f>Données!J14</f>
        <v>43916</v>
      </c>
      <c r="F83" s="6" t="str">
        <f>INDEX(Données!$F$2:$L$54,MATCH('#6'!E83,Données!$G$2:$G$54,1),1)</f>
        <v>13</v>
      </c>
      <c r="G83" s="18" t="str">
        <f t="shared" si="3"/>
        <v>S.O.</v>
      </c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1"/>
      <c r="W83" s="75"/>
      <c r="X83" s="75"/>
      <c r="Y83" s="75"/>
      <c r="Z83" s="96">
        <f>SUM(Tableau17[[#This Row],[A-1]:[G-5]])</f>
        <v>0</v>
      </c>
      <c r="AA83" s="96" t="str">
        <f>IF(AND(Z83&gt;0,Tableau17[[#This Row],[CDS]]=""),"Oui","Non")</f>
        <v>Non</v>
      </c>
      <c r="AB83" s="75"/>
      <c r="AC83" s="75"/>
      <c r="AD83" s="75"/>
      <c r="AE83" s="75"/>
      <c r="AF83" s="75"/>
      <c r="AG83" s="75"/>
      <c r="AH83" s="75"/>
      <c r="AI83" s="75"/>
      <c r="AJ83" s="81"/>
      <c r="AK83" s="75"/>
      <c r="AL83" s="75"/>
    </row>
    <row r="84" spans="1:38" ht="15.75" hidden="1" thickBot="1" x14ac:dyDescent="0.3">
      <c r="A84" s="75"/>
      <c r="B84" s="75"/>
      <c r="C84" s="35">
        <f>INDEX(Données!$F$2:$L$54,MATCH(F84,Données!$F$2:$F$54,0),2)</f>
        <v>43913</v>
      </c>
      <c r="D84" s="29" t="str">
        <f t="shared" si="2"/>
        <v>#6</v>
      </c>
      <c r="E84" s="7">
        <f>Données!K14</f>
        <v>43917</v>
      </c>
      <c r="F84" s="6" t="str">
        <f>INDEX(Données!$F$2:$L$54,MATCH('#6'!E84,Données!$G$2:$G$54,1),1)</f>
        <v>13</v>
      </c>
      <c r="G84" s="18" t="str">
        <f t="shared" si="3"/>
        <v>S.O.</v>
      </c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1"/>
      <c r="W84" s="75"/>
      <c r="X84" s="75"/>
      <c r="Y84" s="75"/>
      <c r="Z84" s="96">
        <f>SUM(Tableau17[[#This Row],[A-1]:[G-5]])</f>
        <v>0</v>
      </c>
      <c r="AA84" s="96" t="str">
        <f>IF(AND(Z84&gt;0,Tableau17[[#This Row],[CDS]]=""),"Oui","Non")</f>
        <v>Non</v>
      </c>
      <c r="AB84" s="75"/>
      <c r="AC84" s="75"/>
      <c r="AD84" s="75"/>
      <c r="AE84" s="75"/>
      <c r="AF84" s="75"/>
      <c r="AG84" s="75"/>
      <c r="AH84" s="75"/>
      <c r="AI84" s="75"/>
      <c r="AJ84" s="81"/>
      <c r="AK84" s="75"/>
      <c r="AL84" s="75"/>
    </row>
    <row r="85" spans="1:38" ht="15.75" hidden="1" thickBot="1" x14ac:dyDescent="0.3">
      <c r="A85" s="75"/>
      <c r="B85" s="75"/>
      <c r="C85" s="35">
        <f>INDEX(Données!$F$2:$L$54,MATCH(F85,Données!$F$2:$F$54,0),2)</f>
        <v>43913</v>
      </c>
      <c r="D85" s="29" t="str">
        <f t="shared" si="2"/>
        <v>#6</v>
      </c>
      <c r="E85" s="7">
        <f>Données!L14</f>
        <v>43918</v>
      </c>
      <c r="F85" s="6" t="str">
        <f>INDEX(Données!$F$2:$L$54,MATCH('#6'!E85,Données!$G$2:$G$54,1),1)</f>
        <v>13</v>
      </c>
      <c r="G85" s="18" t="str">
        <f t="shared" si="3"/>
        <v>S.O.</v>
      </c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1"/>
      <c r="W85" s="75"/>
      <c r="X85" s="75"/>
      <c r="Y85" s="75"/>
      <c r="Z85" s="96">
        <f>SUM(Tableau17[[#This Row],[A-1]:[G-5]])</f>
        <v>0</v>
      </c>
      <c r="AA85" s="96" t="str">
        <f>IF(AND(Z85&gt;0,Tableau17[[#This Row],[CDS]]=""),"Oui","Non")</f>
        <v>Non</v>
      </c>
      <c r="AB85" s="75"/>
      <c r="AC85" s="75"/>
      <c r="AD85" s="75"/>
      <c r="AE85" s="75"/>
      <c r="AF85" s="75"/>
      <c r="AG85" s="75"/>
      <c r="AH85" s="75"/>
      <c r="AI85" s="75"/>
      <c r="AJ85" s="81"/>
      <c r="AK85" s="75"/>
      <c r="AL85" s="75"/>
    </row>
    <row r="86" spans="1:38" ht="15.75" hidden="1" thickBot="1" x14ac:dyDescent="0.3">
      <c r="A86" s="75"/>
      <c r="B86" s="75"/>
      <c r="C86" s="35">
        <f>INDEX(Données!$F$2:$L$54,MATCH(F86,Données!$F$2:$F$54,0),2)</f>
        <v>43920</v>
      </c>
      <c r="D86" s="29" t="str">
        <f t="shared" si="2"/>
        <v>#6</v>
      </c>
      <c r="E86" s="7">
        <f>Données!G15</f>
        <v>43920</v>
      </c>
      <c r="F86" s="6" t="str">
        <f>INDEX(Données!$F$2:$L$54,MATCH('#6'!E86,Données!$G$2:$G$54,1),1)</f>
        <v>14</v>
      </c>
      <c r="G86" s="18" t="str">
        <f t="shared" si="3"/>
        <v>S.O.</v>
      </c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1"/>
      <c r="W86" s="75"/>
      <c r="X86" s="75"/>
      <c r="Y86" s="75"/>
      <c r="Z86" s="96">
        <f>SUM(Tableau17[[#This Row],[A-1]:[G-5]])</f>
        <v>0</v>
      </c>
      <c r="AA86" s="96" t="str">
        <f>IF(AND(Z86&gt;0,Tableau17[[#This Row],[CDS]]=""),"Oui","Non")</f>
        <v>Non</v>
      </c>
      <c r="AB86" s="75"/>
      <c r="AC86" s="75"/>
      <c r="AD86" s="75"/>
      <c r="AE86" s="75"/>
      <c r="AF86" s="75"/>
      <c r="AG86" s="75"/>
      <c r="AH86" s="75"/>
      <c r="AI86" s="75"/>
      <c r="AJ86" s="81"/>
      <c r="AK86" s="75"/>
      <c r="AL86" s="75"/>
    </row>
    <row r="87" spans="1:38" ht="15.75" hidden="1" thickBot="1" x14ac:dyDescent="0.3">
      <c r="A87" s="75"/>
      <c r="B87" s="75"/>
      <c r="C87" s="35">
        <f>INDEX(Données!$F$2:$L$54,MATCH(F87,Données!$F$2:$F$54,0),2)</f>
        <v>43920</v>
      </c>
      <c r="D87" s="29" t="str">
        <f t="shared" si="2"/>
        <v>#6</v>
      </c>
      <c r="E87" s="7">
        <f>Données!H15</f>
        <v>43921</v>
      </c>
      <c r="F87" s="6" t="str">
        <f>INDEX(Données!$F$2:$L$54,MATCH('#6'!E87,Données!$G$2:$G$54,1),1)</f>
        <v>14</v>
      </c>
      <c r="G87" s="18" t="str">
        <f t="shared" si="3"/>
        <v>S.O.</v>
      </c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1"/>
      <c r="W87" s="75"/>
      <c r="X87" s="75"/>
      <c r="Y87" s="75"/>
      <c r="Z87" s="96">
        <f>SUM(Tableau17[[#This Row],[A-1]:[G-5]])</f>
        <v>0</v>
      </c>
      <c r="AA87" s="96" t="str">
        <f>IF(AND(Z87&gt;0,Tableau17[[#This Row],[CDS]]=""),"Oui","Non")</f>
        <v>Non</v>
      </c>
      <c r="AB87" s="75"/>
      <c r="AC87" s="75"/>
      <c r="AD87" s="75"/>
      <c r="AE87" s="75"/>
      <c r="AF87" s="75"/>
      <c r="AG87" s="75"/>
      <c r="AH87" s="75"/>
      <c r="AI87" s="75"/>
      <c r="AJ87" s="81"/>
      <c r="AK87" s="75"/>
      <c r="AL87" s="75"/>
    </row>
    <row r="88" spans="1:38" ht="15.75" hidden="1" thickBot="1" x14ac:dyDescent="0.3">
      <c r="A88" s="75"/>
      <c r="B88" s="75"/>
      <c r="C88" s="35">
        <f>INDEX(Données!$F$2:$L$54,MATCH(F88,Données!$F$2:$F$54,0),2)</f>
        <v>43920</v>
      </c>
      <c r="D88" s="29" t="str">
        <f t="shared" si="2"/>
        <v>#6</v>
      </c>
      <c r="E88" s="7">
        <f>Données!I15</f>
        <v>43922</v>
      </c>
      <c r="F88" s="6" t="str">
        <f>INDEX(Données!$F$2:$L$54,MATCH('#6'!E88,Données!$G$2:$G$54,1),1)</f>
        <v>14</v>
      </c>
      <c r="G88" s="18" t="str">
        <f t="shared" si="3"/>
        <v>S.O.</v>
      </c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1"/>
      <c r="W88" s="75"/>
      <c r="X88" s="75"/>
      <c r="Y88" s="75"/>
      <c r="Z88" s="96">
        <f>SUM(Tableau17[[#This Row],[A-1]:[G-5]])</f>
        <v>0</v>
      </c>
      <c r="AA88" s="96" t="str">
        <f>IF(AND(Z88&gt;0,Tableau17[[#This Row],[CDS]]=""),"Oui","Non")</f>
        <v>Non</v>
      </c>
      <c r="AB88" s="75"/>
      <c r="AC88" s="75"/>
      <c r="AD88" s="75"/>
      <c r="AE88" s="75"/>
      <c r="AF88" s="75"/>
      <c r="AG88" s="75"/>
      <c r="AH88" s="75"/>
      <c r="AI88" s="75"/>
      <c r="AJ88" s="81"/>
      <c r="AK88" s="75"/>
      <c r="AL88" s="75"/>
    </row>
    <row r="89" spans="1:38" ht="15.75" hidden="1" thickBot="1" x14ac:dyDescent="0.3">
      <c r="A89" s="75"/>
      <c r="B89" s="75"/>
      <c r="C89" s="35">
        <f>INDEX(Données!$F$2:$L$54,MATCH(F89,Données!$F$2:$F$54,0),2)</f>
        <v>43920</v>
      </c>
      <c r="D89" s="29" t="str">
        <f t="shared" si="2"/>
        <v>#6</v>
      </c>
      <c r="E89" s="7">
        <f>Données!J15</f>
        <v>43923</v>
      </c>
      <c r="F89" s="6" t="str">
        <f>INDEX(Données!$F$2:$L$54,MATCH('#6'!E89,Données!$G$2:$G$54,1),1)</f>
        <v>14</v>
      </c>
      <c r="G89" s="18" t="str">
        <f t="shared" si="3"/>
        <v>S.O.</v>
      </c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1"/>
      <c r="W89" s="75"/>
      <c r="X89" s="75"/>
      <c r="Y89" s="75"/>
      <c r="Z89" s="96">
        <f>SUM(Tableau17[[#This Row],[A-1]:[G-5]])</f>
        <v>0</v>
      </c>
      <c r="AA89" s="96" t="str">
        <f>IF(AND(Z89&gt;0,Tableau17[[#This Row],[CDS]]=""),"Oui","Non")</f>
        <v>Non</v>
      </c>
      <c r="AB89" s="75"/>
      <c r="AC89" s="75"/>
      <c r="AD89" s="75"/>
      <c r="AE89" s="75"/>
      <c r="AF89" s="75"/>
      <c r="AG89" s="75"/>
      <c r="AH89" s="75"/>
      <c r="AI89" s="75"/>
      <c r="AJ89" s="81"/>
      <c r="AK89" s="75"/>
      <c r="AL89" s="75"/>
    </row>
    <row r="90" spans="1:38" ht="15.75" hidden="1" thickBot="1" x14ac:dyDescent="0.3">
      <c r="A90" s="75"/>
      <c r="B90" s="75"/>
      <c r="C90" s="35">
        <f>INDEX(Données!$F$2:$L$54,MATCH(F90,Données!$F$2:$F$54,0),2)</f>
        <v>43920</v>
      </c>
      <c r="D90" s="29" t="str">
        <f t="shared" si="2"/>
        <v>#6</v>
      </c>
      <c r="E90" s="7">
        <f>Données!K15</f>
        <v>43924</v>
      </c>
      <c r="F90" s="6" t="str">
        <f>INDEX(Données!$F$2:$L$54,MATCH('#6'!E90,Données!$G$2:$G$54,1),1)</f>
        <v>14</v>
      </c>
      <c r="G90" s="18" t="str">
        <f t="shared" si="3"/>
        <v>S.O.</v>
      </c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1"/>
      <c r="W90" s="75"/>
      <c r="X90" s="75"/>
      <c r="Y90" s="75"/>
      <c r="Z90" s="96">
        <f>SUM(Tableau17[[#This Row],[A-1]:[G-5]])</f>
        <v>0</v>
      </c>
      <c r="AA90" s="96" t="str">
        <f>IF(AND(Z90&gt;0,Tableau17[[#This Row],[CDS]]=""),"Oui","Non")</f>
        <v>Non</v>
      </c>
      <c r="AB90" s="75"/>
      <c r="AC90" s="75"/>
      <c r="AD90" s="75"/>
      <c r="AE90" s="75"/>
      <c r="AF90" s="75"/>
      <c r="AG90" s="75"/>
      <c r="AH90" s="75"/>
      <c r="AI90" s="75"/>
      <c r="AJ90" s="81"/>
      <c r="AK90" s="75"/>
      <c r="AL90" s="75"/>
    </row>
    <row r="91" spans="1:38" ht="15.75" hidden="1" thickBot="1" x14ac:dyDescent="0.3">
      <c r="A91" s="75"/>
      <c r="B91" s="75"/>
      <c r="C91" s="35">
        <f>INDEX(Données!$F$2:$L$54,MATCH(F91,Données!$F$2:$F$54,0),2)</f>
        <v>43920</v>
      </c>
      <c r="D91" s="29" t="str">
        <f t="shared" si="2"/>
        <v>#6</v>
      </c>
      <c r="E91" s="7">
        <f>Données!L15</f>
        <v>43925</v>
      </c>
      <c r="F91" s="6" t="str">
        <f>INDEX(Données!$F$2:$L$54,MATCH('#6'!E91,Données!$G$2:$G$54,1),1)</f>
        <v>14</v>
      </c>
      <c r="G91" s="18" t="str">
        <f t="shared" si="3"/>
        <v>S.O.</v>
      </c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1"/>
      <c r="W91" s="75"/>
      <c r="X91" s="75"/>
      <c r="Y91" s="75"/>
      <c r="Z91" s="96">
        <f>SUM(Tableau17[[#This Row],[A-1]:[G-5]])</f>
        <v>0</v>
      </c>
      <c r="AA91" s="96" t="str">
        <f>IF(AND(Z91&gt;0,Tableau17[[#This Row],[CDS]]=""),"Oui","Non")</f>
        <v>Non</v>
      </c>
      <c r="AB91" s="75"/>
      <c r="AC91" s="75"/>
      <c r="AD91" s="75"/>
      <c r="AE91" s="75"/>
      <c r="AF91" s="75"/>
      <c r="AG91" s="75"/>
      <c r="AH91" s="75"/>
      <c r="AI91" s="75"/>
      <c r="AJ91" s="81"/>
      <c r="AK91" s="75"/>
      <c r="AL91" s="75"/>
    </row>
    <row r="92" spans="1:38" ht="15.75" hidden="1" thickBot="1" x14ac:dyDescent="0.3">
      <c r="A92" s="75"/>
      <c r="B92" s="75"/>
      <c r="C92" s="35">
        <f>INDEX(Données!$F$2:$L$54,MATCH(F92,Données!$F$2:$F$54,0),2)</f>
        <v>43927</v>
      </c>
      <c r="D92" s="29" t="str">
        <f t="shared" si="2"/>
        <v>#6</v>
      </c>
      <c r="E92" s="7">
        <f>Données!G16</f>
        <v>43927</v>
      </c>
      <c r="F92" s="6" t="str">
        <f>INDEX(Données!$F$2:$L$54,MATCH('#6'!E92,Données!$G$2:$G$54,1),1)</f>
        <v>15</v>
      </c>
      <c r="G92" s="18" t="str">
        <f t="shared" si="3"/>
        <v>S.O.</v>
      </c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1"/>
      <c r="W92" s="75"/>
      <c r="X92" s="75"/>
      <c r="Y92" s="75"/>
      <c r="Z92" s="96">
        <f>SUM(Tableau17[[#This Row],[A-1]:[G-5]])</f>
        <v>0</v>
      </c>
      <c r="AA92" s="96" t="str">
        <f>IF(AND(Z92&gt;0,Tableau17[[#This Row],[CDS]]=""),"Oui","Non")</f>
        <v>Non</v>
      </c>
      <c r="AB92" s="75"/>
      <c r="AC92" s="75"/>
      <c r="AD92" s="75"/>
      <c r="AE92" s="75"/>
      <c r="AF92" s="75"/>
      <c r="AG92" s="75"/>
      <c r="AH92" s="75"/>
      <c r="AI92" s="75"/>
      <c r="AJ92" s="81"/>
      <c r="AK92" s="75"/>
      <c r="AL92" s="75"/>
    </row>
    <row r="93" spans="1:38" ht="15.75" hidden="1" thickBot="1" x14ac:dyDescent="0.3">
      <c r="A93" s="75"/>
      <c r="B93" s="75"/>
      <c r="C93" s="35">
        <f>INDEX(Données!$F$2:$L$54,MATCH(F93,Données!$F$2:$F$54,0),2)</f>
        <v>43927</v>
      </c>
      <c r="D93" s="29" t="str">
        <f t="shared" si="2"/>
        <v>#6</v>
      </c>
      <c r="E93" s="7">
        <f>Données!H16</f>
        <v>43928</v>
      </c>
      <c r="F93" s="6" t="str">
        <f>INDEX(Données!$F$2:$L$54,MATCH('#6'!E93,Données!$G$2:$G$54,1),1)</f>
        <v>15</v>
      </c>
      <c r="G93" s="18" t="str">
        <f t="shared" si="3"/>
        <v>S.O.</v>
      </c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1"/>
      <c r="W93" s="75"/>
      <c r="X93" s="75"/>
      <c r="Y93" s="75"/>
      <c r="Z93" s="96">
        <f>SUM(Tableau17[[#This Row],[A-1]:[G-5]])</f>
        <v>0</v>
      </c>
      <c r="AA93" s="96" t="str">
        <f>IF(AND(Z93&gt;0,Tableau17[[#This Row],[CDS]]=""),"Oui","Non")</f>
        <v>Non</v>
      </c>
      <c r="AB93" s="75"/>
      <c r="AC93" s="75"/>
      <c r="AD93" s="75"/>
      <c r="AE93" s="75"/>
      <c r="AF93" s="75"/>
      <c r="AG93" s="75"/>
      <c r="AH93" s="75"/>
      <c r="AI93" s="75"/>
      <c r="AJ93" s="81"/>
      <c r="AK93" s="75"/>
      <c r="AL93" s="75"/>
    </row>
    <row r="94" spans="1:38" ht="15.75" hidden="1" thickBot="1" x14ac:dyDescent="0.3">
      <c r="A94" s="75"/>
      <c r="B94" s="75"/>
      <c r="C94" s="35">
        <f>INDEX(Données!$F$2:$L$54,MATCH(F94,Données!$F$2:$F$54,0),2)</f>
        <v>43927</v>
      </c>
      <c r="D94" s="29" t="str">
        <f t="shared" si="2"/>
        <v>#6</v>
      </c>
      <c r="E94" s="7">
        <f>Données!I16</f>
        <v>43929</v>
      </c>
      <c r="F94" s="6" t="str">
        <f>INDEX(Données!$F$2:$L$54,MATCH('#6'!E94,Données!$G$2:$G$54,1),1)</f>
        <v>15</v>
      </c>
      <c r="G94" s="18" t="str">
        <f t="shared" si="3"/>
        <v>S.O.</v>
      </c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1"/>
      <c r="W94" s="75"/>
      <c r="X94" s="75"/>
      <c r="Y94" s="75"/>
      <c r="Z94" s="96">
        <f>SUM(Tableau17[[#This Row],[A-1]:[G-5]])</f>
        <v>0</v>
      </c>
      <c r="AA94" s="96" t="str">
        <f>IF(AND(Z94&gt;0,Tableau17[[#This Row],[CDS]]=""),"Oui","Non")</f>
        <v>Non</v>
      </c>
      <c r="AB94" s="75"/>
      <c r="AC94" s="75"/>
      <c r="AD94" s="75"/>
      <c r="AE94" s="75"/>
      <c r="AF94" s="75"/>
      <c r="AG94" s="75"/>
      <c r="AH94" s="75"/>
      <c r="AI94" s="75"/>
      <c r="AJ94" s="81"/>
      <c r="AK94" s="75"/>
      <c r="AL94" s="75"/>
    </row>
    <row r="95" spans="1:38" ht="15.75" hidden="1" thickBot="1" x14ac:dyDescent="0.3">
      <c r="A95" s="75"/>
      <c r="B95" s="75"/>
      <c r="C95" s="35">
        <f>INDEX(Données!$F$2:$L$54,MATCH(F95,Données!$F$2:$F$54,0),2)</f>
        <v>43927</v>
      </c>
      <c r="D95" s="29" t="str">
        <f t="shared" si="2"/>
        <v>#6</v>
      </c>
      <c r="E95" s="7">
        <f>Données!J16</f>
        <v>43930</v>
      </c>
      <c r="F95" s="6" t="str">
        <f>INDEX(Données!$F$2:$L$54,MATCH('#6'!E95,Données!$G$2:$G$54,1),1)</f>
        <v>15</v>
      </c>
      <c r="G95" s="18" t="str">
        <f t="shared" si="3"/>
        <v>S.O.</v>
      </c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1"/>
      <c r="W95" s="75"/>
      <c r="X95" s="75"/>
      <c r="Y95" s="75"/>
      <c r="Z95" s="96">
        <f>SUM(Tableau17[[#This Row],[A-1]:[G-5]])</f>
        <v>0</v>
      </c>
      <c r="AA95" s="96" t="str">
        <f>IF(AND(Z95&gt;0,Tableau17[[#This Row],[CDS]]=""),"Oui","Non")</f>
        <v>Non</v>
      </c>
      <c r="AB95" s="75"/>
      <c r="AC95" s="75"/>
      <c r="AD95" s="75"/>
      <c r="AE95" s="75"/>
      <c r="AF95" s="75"/>
      <c r="AG95" s="75"/>
      <c r="AH95" s="75"/>
      <c r="AI95" s="75"/>
      <c r="AJ95" s="81"/>
      <c r="AK95" s="75"/>
      <c r="AL95" s="75"/>
    </row>
    <row r="96" spans="1:38" ht="15.75" hidden="1" thickBot="1" x14ac:dyDescent="0.3">
      <c r="A96" s="75"/>
      <c r="B96" s="75"/>
      <c r="C96" s="35">
        <f>INDEX(Données!$F$2:$L$54,MATCH(F96,Données!$F$2:$F$54,0),2)</f>
        <v>43927</v>
      </c>
      <c r="D96" s="29" t="str">
        <f t="shared" si="2"/>
        <v>#6</v>
      </c>
      <c r="E96" s="7">
        <f>Données!K16</f>
        <v>43931</v>
      </c>
      <c r="F96" s="6" t="str">
        <f>INDEX(Données!$F$2:$L$54,MATCH('#6'!E96,Données!$G$2:$G$54,1),1)</f>
        <v>15</v>
      </c>
      <c r="G96" s="18" t="str">
        <f t="shared" si="3"/>
        <v>S.O.</v>
      </c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1"/>
      <c r="W96" s="75"/>
      <c r="X96" s="75"/>
      <c r="Y96" s="75"/>
      <c r="Z96" s="96">
        <f>SUM(Tableau17[[#This Row],[A-1]:[G-5]])</f>
        <v>0</v>
      </c>
      <c r="AA96" s="96" t="str">
        <f>IF(AND(Z96&gt;0,Tableau17[[#This Row],[CDS]]=""),"Oui","Non")</f>
        <v>Non</v>
      </c>
      <c r="AB96" s="75"/>
      <c r="AC96" s="75"/>
      <c r="AD96" s="75"/>
      <c r="AE96" s="75"/>
      <c r="AF96" s="75"/>
      <c r="AG96" s="75"/>
      <c r="AH96" s="75"/>
      <c r="AI96" s="75"/>
      <c r="AJ96" s="81"/>
      <c r="AK96" s="75"/>
      <c r="AL96" s="75"/>
    </row>
    <row r="97" spans="1:38" ht="15.75" hidden="1" thickBot="1" x14ac:dyDescent="0.3">
      <c r="A97" s="75"/>
      <c r="B97" s="75"/>
      <c r="C97" s="35">
        <f>INDEX(Données!$F$2:$L$54,MATCH(F97,Données!$F$2:$F$54,0),2)</f>
        <v>43927</v>
      </c>
      <c r="D97" s="29" t="str">
        <f t="shared" si="2"/>
        <v>#6</v>
      </c>
      <c r="E97" s="7">
        <f>Données!L16</f>
        <v>43932</v>
      </c>
      <c r="F97" s="6" t="str">
        <f>INDEX(Données!$F$2:$L$54,MATCH('#6'!E97,Données!$G$2:$G$54,1),1)</f>
        <v>15</v>
      </c>
      <c r="G97" s="18" t="str">
        <f t="shared" si="3"/>
        <v>S.O.</v>
      </c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1"/>
      <c r="W97" s="75"/>
      <c r="X97" s="75"/>
      <c r="Y97" s="75"/>
      <c r="Z97" s="96">
        <f>SUM(Tableau17[[#This Row],[A-1]:[G-5]])</f>
        <v>0</v>
      </c>
      <c r="AA97" s="96" t="str">
        <f>IF(AND(Z97&gt;0,Tableau17[[#This Row],[CDS]]=""),"Oui","Non")</f>
        <v>Non</v>
      </c>
      <c r="AB97" s="75"/>
      <c r="AC97" s="75"/>
      <c r="AD97" s="75"/>
      <c r="AE97" s="75"/>
      <c r="AF97" s="75"/>
      <c r="AG97" s="75"/>
      <c r="AH97" s="75"/>
      <c r="AI97" s="75"/>
      <c r="AJ97" s="81"/>
      <c r="AK97" s="75"/>
      <c r="AL97" s="75"/>
    </row>
    <row r="98" spans="1:38" ht="15.75" hidden="1" thickBot="1" x14ac:dyDescent="0.3">
      <c r="A98" s="75"/>
      <c r="B98" s="75"/>
      <c r="C98" s="35">
        <f>INDEX(Données!$F$2:$L$54,MATCH(F98,Données!$F$2:$F$54,0),2)</f>
        <v>43934</v>
      </c>
      <c r="D98" s="29" t="str">
        <f t="shared" si="2"/>
        <v>#6</v>
      </c>
      <c r="E98" s="7">
        <f>Données!G17</f>
        <v>43934</v>
      </c>
      <c r="F98" s="6" t="str">
        <f>INDEX(Données!$F$2:$L$54,MATCH('#6'!E98,Données!$G$2:$G$54,1),1)</f>
        <v>16</v>
      </c>
      <c r="G98" s="18" t="str">
        <f t="shared" si="3"/>
        <v>S.O.</v>
      </c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1"/>
      <c r="W98" s="75"/>
      <c r="X98" s="75"/>
      <c r="Y98" s="75"/>
      <c r="Z98" s="96">
        <f>SUM(Tableau17[[#This Row],[A-1]:[G-5]])</f>
        <v>0</v>
      </c>
      <c r="AA98" s="96" t="str">
        <f>IF(AND(Z98&gt;0,Tableau17[[#This Row],[CDS]]=""),"Oui","Non")</f>
        <v>Non</v>
      </c>
      <c r="AB98" s="75"/>
      <c r="AC98" s="75"/>
      <c r="AD98" s="75"/>
      <c r="AE98" s="75"/>
      <c r="AF98" s="75"/>
      <c r="AG98" s="75"/>
      <c r="AH98" s="75"/>
      <c r="AI98" s="75"/>
      <c r="AJ98" s="81"/>
      <c r="AK98" s="75"/>
      <c r="AL98" s="75"/>
    </row>
    <row r="99" spans="1:38" ht="15.75" hidden="1" thickBot="1" x14ac:dyDescent="0.3">
      <c r="A99" s="75"/>
      <c r="B99" s="75"/>
      <c r="C99" s="35">
        <f>INDEX(Données!$F$2:$L$54,MATCH(F99,Données!$F$2:$F$54,0),2)</f>
        <v>43934</v>
      </c>
      <c r="D99" s="29" t="str">
        <f t="shared" si="2"/>
        <v>#6</v>
      </c>
      <c r="E99" s="7">
        <f>Données!H17</f>
        <v>43935</v>
      </c>
      <c r="F99" s="6" t="str">
        <f>INDEX(Données!$F$2:$L$54,MATCH('#6'!E99,Données!$G$2:$G$54,1),1)</f>
        <v>16</v>
      </c>
      <c r="G99" s="18" t="str">
        <f t="shared" si="3"/>
        <v>S.O.</v>
      </c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1"/>
      <c r="W99" s="75"/>
      <c r="X99" s="75"/>
      <c r="Y99" s="75"/>
      <c r="Z99" s="96">
        <f>SUM(Tableau17[[#This Row],[A-1]:[G-5]])</f>
        <v>0</v>
      </c>
      <c r="AA99" s="96" t="str">
        <f>IF(AND(Z99&gt;0,Tableau17[[#This Row],[CDS]]=""),"Oui","Non")</f>
        <v>Non</v>
      </c>
      <c r="AB99" s="75"/>
      <c r="AC99" s="75"/>
      <c r="AD99" s="75"/>
      <c r="AE99" s="75"/>
      <c r="AF99" s="75"/>
      <c r="AG99" s="75"/>
      <c r="AH99" s="75"/>
      <c r="AI99" s="75"/>
      <c r="AJ99" s="81"/>
      <c r="AK99" s="75"/>
      <c r="AL99" s="75"/>
    </row>
    <row r="100" spans="1:38" ht="15.75" hidden="1" thickBot="1" x14ac:dyDescent="0.3">
      <c r="A100" s="75"/>
      <c r="B100" s="75"/>
      <c r="C100" s="35">
        <f>INDEX(Données!$F$2:$L$54,MATCH(F100,Données!$F$2:$F$54,0),2)</f>
        <v>43934</v>
      </c>
      <c r="D100" s="29" t="str">
        <f t="shared" si="2"/>
        <v>#6</v>
      </c>
      <c r="E100" s="7">
        <f>Données!I17</f>
        <v>43936</v>
      </c>
      <c r="F100" s="6" t="str">
        <f>INDEX(Données!$F$2:$L$54,MATCH('#6'!E100,Données!$G$2:$G$54,1),1)</f>
        <v>16</v>
      </c>
      <c r="G100" s="18" t="str">
        <f t="shared" si="3"/>
        <v>S.O.</v>
      </c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1"/>
      <c r="W100" s="75"/>
      <c r="X100" s="75"/>
      <c r="Y100" s="75"/>
      <c r="Z100" s="96">
        <f>SUM(Tableau17[[#This Row],[A-1]:[G-5]])</f>
        <v>0</v>
      </c>
      <c r="AA100" s="96" t="str">
        <f>IF(AND(Z100&gt;0,Tableau17[[#This Row],[CDS]]=""),"Oui","Non")</f>
        <v>Non</v>
      </c>
      <c r="AB100" s="75"/>
      <c r="AC100" s="75"/>
      <c r="AD100" s="75"/>
      <c r="AE100" s="75"/>
      <c r="AF100" s="75"/>
      <c r="AG100" s="75"/>
      <c r="AH100" s="75"/>
      <c r="AI100" s="75"/>
      <c r="AJ100" s="81"/>
      <c r="AK100" s="75"/>
      <c r="AL100" s="75"/>
    </row>
    <row r="101" spans="1:38" ht="15.75" hidden="1" thickBot="1" x14ac:dyDescent="0.3">
      <c r="A101" s="75"/>
      <c r="B101" s="75"/>
      <c r="C101" s="35">
        <f>INDEX(Données!$F$2:$L$54,MATCH(F101,Données!$F$2:$F$54,0),2)</f>
        <v>43934</v>
      </c>
      <c r="D101" s="29" t="str">
        <f t="shared" si="2"/>
        <v>#6</v>
      </c>
      <c r="E101" s="7">
        <f>Données!J17</f>
        <v>43937</v>
      </c>
      <c r="F101" s="6" t="str">
        <f>INDEX(Données!$F$2:$L$54,MATCH('#6'!E101,Données!$G$2:$G$54,1),1)</f>
        <v>16</v>
      </c>
      <c r="G101" s="18" t="str">
        <f t="shared" si="3"/>
        <v>S.O.</v>
      </c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1"/>
      <c r="W101" s="75"/>
      <c r="X101" s="75"/>
      <c r="Y101" s="75"/>
      <c r="Z101" s="96">
        <f>SUM(Tableau17[[#This Row],[A-1]:[G-5]])</f>
        <v>0</v>
      </c>
      <c r="AA101" s="96" t="str">
        <f>IF(AND(Z101&gt;0,Tableau17[[#This Row],[CDS]]=""),"Oui","Non")</f>
        <v>Non</v>
      </c>
      <c r="AB101" s="75"/>
      <c r="AC101" s="75"/>
      <c r="AD101" s="75"/>
      <c r="AE101" s="75"/>
      <c r="AF101" s="75"/>
      <c r="AG101" s="75"/>
      <c r="AH101" s="75"/>
      <c r="AI101" s="75"/>
      <c r="AJ101" s="81"/>
      <c r="AK101" s="75"/>
      <c r="AL101" s="75"/>
    </row>
    <row r="102" spans="1:38" ht="15.75" hidden="1" thickBot="1" x14ac:dyDescent="0.3">
      <c r="A102" s="75"/>
      <c r="B102" s="75"/>
      <c r="C102" s="35">
        <f>INDEX(Données!$F$2:$L$54,MATCH(F102,Données!$F$2:$F$54,0),2)</f>
        <v>43934</v>
      </c>
      <c r="D102" s="29" t="str">
        <f t="shared" si="2"/>
        <v>#6</v>
      </c>
      <c r="E102" s="7">
        <f>Données!K17</f>
        <v>43938</v>
      </c>
      <c r="F102" s="6" t="str">
        <f>INDEX(Données!$F$2:$L$54,MATCH('#6'!E102,Données!$G$2:$G$54,1),1)</f>
        <v>16</v>
      </c>
      <c r="G102" s="18" t="str">
        <f t="shared" si="3"/>
        <v>S.O.</v>
      </c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1"/>
      <c r="W102" s="75"/>
      <c r="X102" s="75"/>
      <c r="Y102" s="75"/>
      <c r="Z102" s="96">
        <f>SUM(Tableau17[[#This Row],[A-1]:[G-5]])</f>
        <v>0</v>
      </c>
      <c r="AA102" s="96" t="str">
        <f>IF(AND(Z102&gt;0,Tableau17[[#This Row],[CDS]]=""),"Oui","Non")</f>
        <v>Non</v>
      </c>
      <c r="AB102" s="75"/>
      <c r="AC102" s="75"/>
      <c r="AD102" s="75"/>
      <c r="AE102" s="75"/>
      <c r="AF102" s="75"/>
      <c r="AG102" s="75"/>
      <c r="AH102" s="75"/>
      <c r="AI102" s="75"/>
      <c r="AJ102" s="81"/>
      <c r="AK102" s="75"/>
      <c r="AL102" s="75"/>
    </row>
    <row r="103" spans="1:38" ht="15.75" hidden="1" thickBot="1" x14ac:dyDescent="0.3">
      <c r="A103" s="75"/>
      <c r="B103" s="75"/>
      <c r="C103" s="35">
        <f>INDEX(Données!$F$2:$L$54,MATCH(F103,Données!$F$2:$F$54,0),2)</f>
        <v>43934</v>
      </c>
      <c r="D103" s="29" t="str">
        <f t="shared" si="2"/>
        <v>#6</v>
      </c>
      <c r="E103" s="7">
        <f>Données!L17</f>
        <v>43939</v>
      </c>
      <c r="F103" s="6" t="str">
        <f>INDEX(Données!$F$2:$L$54,MATCH('#6'!E103,Données!$G$2:$G$54,1),1)</f>
        <v>16</v>
      </c>
      <c r="G103" s="18" t="str">
        <f t="shared" si="3"/>
        <v>S.O.</v>
      </c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1"/>
      <c r="W103" s="75"/>
      <c r="X103" s="75"/>
      <c r="Y103" s="75"/>
      <c r="Z103" s="96">
        <f>SUM(Tableau17[[#This Row],[A-1]:[G-5]])</f>
        <v>0</v>
      </c>
      <c r="AA103" s="96" t="str">
        <f>IF(AND(Z103&gt;0,Tableau17[[#This Row],[CDS]]=""),"Oui","Non")</f>
        <v>Non</v>
      </c>
      <c r="AB103" s="75"/>
      <c r="AC103" s="75"/>
      <c r="AD103" s="75"/>
      <c r="AE103" s="75"/>
      <c r="AF103" s="75"/>
      <c r="AG103" s="75"/>
      <c r="AH103" s="75"/>
      <c r="AI103" s="75"/>
      <c r="AJ103" s="81"/>
      <c r="AK103" s="75"/>
      <c r="AL103" s="75"/>
    </row>
    <row r="104" spans="1:38" ht="15.75" hidden="1" thickBot="1" x14ac:dyDescent="0.3">
      <c r="A104" s="75"/>
      <c r="B104" s="75"/>
      <c r="C104" s="35">
        <f>INDEX(Données!$F$2:$L$54,MATCH(F104,Données!$F$2:$F$54,0),2)</f>
        <v>43941</v>
      </c>
      <c r="D104" s="29" t="str">
        <f t="shared" si="2"/>
        <v>#6</v>
      </c>
      <c r="E104" s="7">
        <f>Données!G18</f>
        <v>43941</v>
      </c>
      <c r="F104" s="6" t="str">
        <f>INDEX(Données!$F$2:$L$54,MATCH('#6'!E104,Données!$G$2:$G$54,1),1)</f>
        <v>17</v>
      </c>
      <c r="G104" s="18" t="str">
        <f t="shared" si="3"/>
        <v>S.O.</v>
      </c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1"/>
      <c r="W104" s="75"/>
      <c r="X104" s="75"/>
      <c r="Y104" s="75"/>
      <c r="Z104" s="96">
        <f>SUM(Tableau17[[#This Row],[A-1]:[G-5]])</f>
        <v>0</v>
      </c>
      <c r="AA104" s="96" t="str">
        <f>IF(AND(Z104&gt;0,Tableau17[[#This Row],[CDS]]=""),"Oui","Non")</f>
        <v>Non</v>
      </c>
      <c r="AB104" s="75"/>
      <c r="AC104" s="75"/>
      <c r="AD104" s="75"/>
      <c r="AE104" s="75"/>
      <c r="AF104" s="75"/>
      <c r="AG104" s="75"/>
      <c r="AH104" s="75"/>
      <c r="AI104" s="75"/>
      <c r="AJ104" s="81"/>
      <c r="AK104" s="75"/>
      <c r="AL104" s="75"/>
    </row>
    <row r="105" spans="1:38" ht="15.75" hidden="1" thickBot="1" x14ac:dyDescent="0.3">
      <c r="A105" s="75"/>
      <c r="B105" s="75"/>
      <c r="C105" s="35">
        <f>INDEX(Données!$F$2:$L$54,MATCH(F105,Données!$F$2:$F$54,0),2)</f>
        <v>43941</v>
      </c>
      <c r="D105" s="29" t="str">
        <f t="shared" si="2"/>
        <v>#6</v>
      </c>
      <c r="E105" s="7">
        <f>Données!H18</f>
        <v>43942</v>
      </c>
      <c r="F105" s="6" t="str">
        <f>INDEX(Données!$F$2:$L$54,MATCH('#6'!E105,Données!$G$2:$G$54,1),1)</f>
        <v>17</v>
      </c>
      <c r="G105" s="18" t="str">
        <f t="shared" si="3"/>
        <v>S.O.</v>
      </c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1"/>
      <c r="W105" s="75"/>
      <c r="X105" s="75"/>
      <c r="Y105" s="75"/>
      <c r="Z105" s="96">
        <f>SUM(Tableau17[[#This Row],[A-1]:[G-5]])</f>
        <v>0</v>
      </c>
      <c r="AA105" s="96" t="str">
        <f>IF(AND(Z105&gt;0,Tableau17[[#This Row],[CDS]]=""),"Oui","Non")</f>
        <v>Non</v>
      </c>
      <c r="AB105" s="75"/>
      <c r="AC105" s="75"/>
      <c r="AD105" s="75"/>
      <c r="AE105" s="75"/>
      <c r="AF105" s="75"/>
      <c r="AG105" s="75"/>
      <c r="AH105" s="75"/>
      <c r="AI105" s="75"/>
      <c r="AJ105" s="81"/>
      <c r="AK105" s="75"/>
      <c r="AL105" s="75"/>
    </row>
    <row r="106" spans="1:38" ht="15.75" hidden="1" thickBot="1" x14ac:dyDescent="0.3">
      <c r="A106" s="75"/>
      <c r="B106" s="75"/>
      <c r="C106" s="35">
        <f>INDEX(Données!$F$2:$L$54,MATCH(F106,Données!$F$2:$F$54,0),2)</f>
        <v>43941</v>
      </c>
      <c r="D106" s="29" t="str">
        <f t="shared" si="2"/>
        <v>#6</v>
      </c>
      <c r="E106" s="7">
        <f>Données!I18</f>
        <v>43943</v>
      </c>
      <c r="F106" s="6" t="str">
        <f>INDEX(Données!$F$2:$L$54,MATCH('#6'!E106,Données!$G$2:$G$54,1),1)</f>
        <v>17</v>
      </c>
      <c r="G106" s="18" t="str">
        <f t="shared" si="3"/>
        <v>S.O.</v>
      </c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1"/>
      <c r="W106" s="75"/>
      <c r="X106" s="75"/>
      <c r="Y106" s="75"/>
      <c r="Z106" s="96">
        <f>SUM(Tableau17[[#This Row],[A-1]:[G-5]])</f>
        <v>0</v>
      </c>
      <c r="AA106" s="96" t="str">
        <f>IF(AND(Z106&gt;0,Tableau17[[#This Row],[CDS]]=""),"Oui","Non")</f>
        <v>Non</v>
      </c>
      <c r="AB106" s="75"/>
      <c r="AC106" s="75"/>
      <c r="AD106" s="75"/>
      <c r="AE106" s="75"/>
      <c r="AF106" s="75"/>
      <c r="AG106" s="75"/>
      <c r="AH106" s="75"/>
      <c r="AI106" s="75"/>
      <c r="AJ106" s="81"/>
      <c r="AK106" s="75"/>
      <c r="AL106" s="75"/>
    </row>
    <row r="107" spans="1:38" ht="15.75" hidden="1" thickBot="1" x14ac:dyDescent="0.3">
      <c r="A107" s="75"/>
      <c r="B107" s="75"/>
      <c r="C107" s="35">
        <f>INDEX(Données!$F$2:$L$54,MATCH(F107,Données!$F$2:$F$54,0),2)</f>
        <v>43941</v>
      </c>
      <c r="D107" s="29" t="str">
        <f t="shared" si="2"/>
        <v>#6</v>
      </c>
      <c r="E107" s="7">
        <f>Données!J18</f>
        <v>43944</v>
      </c>
      <c r="F107" s="6" t="str">
        <f>INDEX(Données!$F$2:$L$54,MATCH('#6'!E107,Données!$G$2:$G$54,1),1)</f>
        <v>17</v>
      </c>
      <c r="G107" s="18" t="str">
        <f t="shared" si="3"/>
        <v>S.O.</v>
      </c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1"/>
      <c r="W107" s="75"/>
      <c r="X107" s="75"/>
      <c r="Y107" s="75"/>
      <c r="Z107" s="96">
        <f>SUM(Tableau17[[#This Row],[A-1]:[G-5]])</f>
        <v>0</v>
      </c>
      <c r="AA107" s="96" t="str">
        <f>IF(AND(Z107&gt;0,Tableau17[[#This Row],[CDS]]=""),"Oui","Non")</f>
        <v>Non</v>
      </c>
      <c r="AB107" s="75"/>
      <c r="AC107" s="75"/>
      <c r="AD107" s="75"/>
      <c r="AE107" s="75"/>
      <c r="AF107" s="75"/>
      <c r="AG107" s="75"/>
      <c r="AH107" s="75"/>
      <c r="AI107" s="75"/>
      <c r="AJ107" s="81"/>
      <c r="AK107" s="75"/>
      <c r="AL107" s="75"/>
    </row>
    <row r="108" spans="1:38" ht="15.75" hidden="1" thickBot="1" x14ac:dyDescent="0.3">
      <c r="A108" s="75"/>
      <c r="B108" s="75"/>
      <c r="C108" s="35">
        <f>INDEX(Données!$F$2:$L$54,MATCH(F108,Données!$F$2:$F$54,0),2)</f>
        <v>43941</v>
      </c>
      <c r="D108" s="29" t="str">
        <f t="shared" si="2"/>
        <v>#6</v>
      </c>
      <c r="E108" s="7">
        <f>Données!K18</f>
        <v>43945</v>
      </c>
      <c r="F108" s="6" t="str">
        <f>INDEX(Données!$F$2:$L$54,MATCH('#6'!E108,Données!$G$2:$G$54,1),1)</f>
        <v>17</v>
      </c>
      <c r="G108" s="18" t="str">
        <f t="shared" si="3"/>
        <v>S.O.</v>
      </c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1"/>
      <c r="W108" s="75"/>
      <c r="X108" s="75"/>
      <c r="Y108" s="75"/>
      <c r="Z108" s="96">
        <f>SUM(Tableau17[[#This Row],[A-1]:[G-5]])</f>
        <v>0</v>
      </c>
      <c r="AA108" s="96" t="str">
        <f>IF(AND(Z108&gt;0,Tableau17[[#This Row],[CDS]]=""),"Oui","Non")</f>
        <v>Non</v>
      </c>
      <c r="AB108" s="75"/>
      <c r="AC108" s="75"/>
      <c r="AD108" s="75"/>
      <c r="AE108" s="75"/>
      <c r="AF108" s="75"/>
      <c r="AG108" s="75"/>
      <c r="AH108" s="75"/>
      <c r="AI108" s="75"/>
      <c r="AJ108" s="81"/>
      <c r="AK108" s="75"/>
      <c r="AL108" s="75"/>
    </row>
    <row r="109" spans="1:38" ht="15.75" hidden="1" thickBot="1" x14ac:dyDescent="0.3">
      <c r="A109" s="75"/>
      <c r="B109" s="75"/>
      <c r="C109" s="35">
        <f>INDEX(Données!$F$2:$L$54,MATCH(F109,Données!$F$2:$F$54,0),2)</f>
        <v>43941</v>
      </c>
      <c r="D109" s="29" t="str">
        <f t="shared" si="2"/>
        <v>#6</v>
      </c>
      <c r="E109" s="7">
        <f>Données!L18</f>
        <v>43946</v>
      </c>
      <c r="F109" s="6" t="str">
        <f>INDEX(Données!$F$2:$L$54,MATCH('#6'!E109,Données!$G$2:$G$54,1),1)</f>
        <v>17</v>
      </c>
      <c r="G109" s="18" t="str">
        <f t="shared" si="3"/>
        <v>S.O.</v>
      </c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1"/>
      <c r="W109" s="75"/>
      <c r="X109" s="75"/>
      <c r="Y109" s="75"/>
      <c r="Z109" s="96">
        <f>SUM(Tableau17[[#This Row],[A-1]:[G-5]])</f>
        <v>0</v>
      </c>
      <c r="AA109" s="96" t="str">
        <f>IF(AND(Z109&gt;0,Tableau17[[#This Row],[CDS]]=""),"Oui","Non")</f>
        <v>Non</v>
      </c>
      <c r="AB109" s="75"/>
      <c r="AC109" s="75"/>
      <c r="AD109" s="75"/>
      <c r="AE109" s="75"/>
      <c r="AF109" s="75"/>
      <c r="AG109" s="75"/>
      <c r="AH109" s="75"/>
      <c r="AI109" s="75"/>
      <c r="AJ109" s="81"/>
      <c r="AK109" s="75"/>
      <c r="AL109" s="75"/>
    </row>
    <row r="110" spans="1:38" ht="15.75" hidden="1" thickBot="1" x14ac:dyDescent="0.3">
      <c r="A110" s="75"/>
      <c r="B110" s="75"/>
      <c r="C110" s="35">
        <f>INDEX(Données!$F$2:$L$54,MATCH(F110,Données!$F$2:$F$54,0),2)</f>
        <v>43948</v>
      </c>
      <c r="D110" s="29" t="str">
        <f t="shared" si="2"/>
        <v>#6</v>
      </c>
      <c r="E110" s="7">
        <f>Données!G19</f>
        <v>43948</v>
      </c>
      <c r="F110" s="6" t="str">
        <f>INDEX(Données!$F$2:$L$54,MATCH('#6'!E110,Données!$G$2:$G$54,1),1)</f>
        <v>18</v>
      </c>
      <c r="G110" s="18" t="str">
        <f t="shared" si="3"/>
        <v>S.O.</v>
      </c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1"/>
      <c r="W110" s="75"/>
      <c r="X110" s="75"/>
      <c r="Y110" s="75"/>
      <c r="Z110" s="96">
        <f>SUM(Tableau17[[#This Row],[A-1]:[G-5]])</f>
        <v>0</v>
      </c>
      <c r="AA110" s="96" t="str">
        <f>IF(AND(Z110&gt;0,Tableau17[[#This Row],[CDS]]=""),"Oui","Non")</f>
        <v>Non</v>
      </c>
      <c r="AB110" s="75"/>
      <c r="AC110" s="75"/>
      <c r="AD110" s="75"/>
      <c r="AE110" s="75"/>
      <c r="AF110" s="75"/>
      <c r="AG110" s="75"/>
      <c r="AH110" s="75"/>
      <c r="AI110" s="75"/>
      <c r="AJ110" s="81"/>
      <c r="AK110" s="75"/>
      <c r="AL110" s="75"/>
    </row>
    <row r="111" spans="1:38" ht="15.75" hidden="1" thickBot="1" x14ac:dyDescent="0.3">
      <c r="A111" s="75"/>
      <c r="B111" s="75"/>
      <c r="C111" s="35">
        <f>INDEX(Données!$F$2:$L$54,MATCH(F111,Données!$F$2:$F$54,0),2)</f>
        <v>43948</v>
      </c>
      <c r="D111" s="29" t="str">
        <f t="shared" si="2"/>
        <v>#6</v>
      </c>
      <c r="E111" s="7">
        <f>Données!H19</f>
        <v>43949</v>
      </c>
      <c r="F111" s="6" t="str">
        <f>INDEX(Données!$F$2:$L$54,MATCH('#6'!E111,Données!$G$2:$G$54,1),1)</f>
        <v>18</v>
      </c>
      <c r="G111" s="18" t="str">
        <f t="shared" si="3"/>
        <v>S.O.</v>
      </c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1"/>
      <c r="W111" s="75"/>
      <c r="X111" s="75"/>
      <c r="Y111" s="75"/>
      <c r="Z111" s="96">
        <f>SUM(Tableau17[[#This Row],[A-1]:[G-5]])</f>
        <v>0</v>
      </c>
      <c r="AA111" s="96" t="str">
        <f>IF(AND(Z111&gt;0,Tableau17[[#This Row],[CDS]]=""),"Oui","Non")</f>
        <v>Non</v>
      </c>
      <c r="AB111" s="75"/>
      <c r="AC111" s="75"/>
      <c r="AD111" s="75"/>
      <c r="AE111" s="75"/>
      <c r="AF111" s="75"/>
      <c r="AG111" s="75"/>
      <c r="AH111" s="75"/>
      <c r="AI111" s="75"/>
      <c r="AJ111" s="81"/>
      <c r="AK111" s="75"/>
      <c r="AL111" s="75"/>
    </row>
    <row r="112" spans="1:38" ht="15.75" hidden="1" thickBot="1" x14ac:dyDescent="0.3">
      <c r="A112" s="75"/>
      <c r="B112" s="75"/>
      <c r="C112" s="35">
        <f>INDEX(Données!$F$2:$L$54,MATCH(F112,Données!$F$2:$F$54,0),2)</f>
        <v>43948</v>
      </c>
      <c r="D112" s="29" t="str">
        <f t="shared" si="2"/>
        <v>#6</v>
      </c>
      <c r="E112" s="7">
        <f>Données!I19</f>
        <v>43950</v>
      </c>
      <c r="F112" s="6" t="str">
        <f>INDEX(Données!$F$2:$L$54,MATCH('#6'!E112,Données!$G$2:$G$54,1),1)</f>
        <v>18</v>
      </c>
      <c r="G112" s="18" t="str">
        <f t="shared" si="3"/>
        <v>S.O.</v>
      </c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1"/>
      <c r="W112" s="75"/>
      <c r="X112" s="75"/>
      <c r="Y112" s="75"/>
      <c r="Z112" s="96">
        <f>SUM(Tableau17[[#This Row],[A-1]:[G-5]])</f>
        <v>0</v>
      </c>
      <c r="AA112" s="96" t="str">
        <f>IF(AND(Z112&gt;0,Tableau17[[#This Row],[CDS]]=""),"Oui","Non")</f>
        <v>Non</v>
      </c>
      <c r="AB112" s="75"/>
      <c r="AC112" s="75"/>
      <c r="AD112" s="75"/>
      <c r="AE112" s="75"/>
      <c r="AF112" s="75"/>
      <c r="AG112" s="75"/>
      <c r="AH112" s="75"/>
      <c r="AI112" s="75"/>
      <c r="AJ112" s="81"/>
      <c r="AK112" s="75"/>
      <c r="AL112" s="75"/>
    </row>
    <row r="113" spans="1:38" ht="15.75" hidden="1" thickBot="1" x14ac:dyDescent="0.3">
      <c r="A113" s="75"/>
      <c r="B113" s="75"/>
      <c r="C113" s="35">
        <f>INDEX(Données!$F$2:$L$54,MATCH(F113,Données!$F$2:$F$54,0),2)</f>
        <v>43948</v>
      </c>
      <c r="D113" s="29" t="str">
        <f t="shared" si="2"/>
        <v>#6</v>
      </c>
      <c r="E113" s="7">
        <f>Données!J19</f>
        <v>43951</v>
      </c>
      <c r="F113" s="6" t="str">
        <f>INDEX(Données!$F$2:$L$54,MATCH('#6'!E113,Données!$G$2:$G$54,1),1)</f>
        <v>18</v>
      </c>
      <c r="G113" s="18" t="str">
        <f t="shared" si="3"/>
        <v>S.O.</v>
      </c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1"/>
      <c r="W113" s="75"/>
      <c r="X113" s="75"/>
      <c r="Y113" s="75"/>
      <c r="Z113" s="96">
        <f>SUM(Tableau17[[#This Row],[A-1]:[G-5]])</f>
        <v>0</v>
      </c>
      <c r="AA113" s="96" t="str">
        <f>IF(AND(Z113&gt;0,Tableau17[[#This Row],[CDS]]=""),"Oui","Non")</f>
        <v>Non</v>
      </c>
      <c r="AB113" s="75"/>
      <c r="AC113" s="75"/>
      <c r="AD113" s="75"/>
      <c r="AE113" s="75"/>
      <c r="AF113" s="75"/>
      <c r="AG113" s="75"/>
      <c r="AH113" s="75"/>
      <c r="AI113" s="75"/>
      <c r="AJ113" s="81"/>
      <c r="AK113" s="75"/>
      <c r="AL113" s="75"/>
    </row>
    <row r="114" spans="1:38" ht="15.75" hidden="1" thickBot="1" x14ac:dyDescent="0.3">
      <c r="A114" s="75"/>
      <c r="B114" s="75"/>
      <c r="C114" s="35">
        <f>INDEX(Données!$F$2:$L$54,MATCH(F114,Données!$F$2:$F$54,0),2)</f>
        <v>43948</v>
      </c>
      <c r="D114" s="29" t="str">
        <f t="shared" si="2"/>
        <v>#6</v>
      </c>
      <c r="E114" s="7">
        <f>Données!K19</f>
        <v>43952</v>
      </c>
      <c r="F114" s="6" t="str">
        <f>INDEX(Données!$F$2:$L$54,MATCH('#6'!E114,Données!$G$2:$G$54,1),1)</f>
        <v>18</v>
      </c>
      <c r="G114" s="18" t="str">
        <f t="shared" si="3"/>
        <v>S.O.</v>
      </c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1"/>
      <c r="W114" s="75"/>
      <c r="X114" s="75"/>
      <c r="Y114" s="75"/>
      <c r="Z114" s="96">
        <f>SUM(Tableau17[[#This Row],[A-1]:[G-5]])</f>
        <v>0</v>
      </c>
      <c r="AA114" s="96" t="str">
        <f>IF(AND(Z114&gt;0,Tableau17[[#This Row],[CDS]]=""),"Oui","Non")</f>
        <v>Non</v>
      </c>
      <c r="AB114" s="75"/>
      <c r="AC114" s="75"/>
      <c r="AD114" s="75"/>
      <c r="AE114" s="75"/>
      <c r="AF114" s="75"/>
      <c r="AG114" s="75"/>
      <c r="AH114" s="75"/>
      <c r="AI114" s="75"/>
      <c r="AJ114" s="81"/>
      <c r="AK114" s="75"/>
      <c r="AL114" s="75"/>
    </row>
    <row r="115" spans="1:38" ht="15.75" hidden="1" thickBot="1" x14ac:dyDescent="0.3">
      <c r="A115" s="75"/>
      <c r="B115" s="75"/>
      <c r="C115" s="35">
        <f>INDEX(Données!$F$2:$L$54,MATCH(F115,Données!$F$2:$F$54,0),2)</f>
        <v>43948</v>
      </c>
      <c r="D115" s="29" t="str">
        <f t="shared" si="2"/>
        <v>#6</v>
      </c>
      <c r="E115" s="7">
        <f>Données!L19</f>
        <v>43953</v>
      </c>
      <c r="F115" s="6" t="str">
        <f>INDEX(Données!$F$2:$L$54,MATCH('#6'!E115,Données!$G$2:$G$54,1),1)</f>
        <v>18</v>
      </c>
      <c r="G115" s="18" t="str">
        <f t="shared" si="3"/>
        <v>S.O.</v>
      </c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1"/>
      <c r="W115" s="75"/>
      <c r="X115" s="75"/>
      <c r="Y115" s="75"/>
      <c r="Z115" s="96">
        <f>SUM(Tableau17[[#This Row],[A-1]:[G-5]])</f>
        <v>0</v>
      </c>
      <c r="AA115" s="96" t="str">
        <f>IF(AND(Z115&gt;0,Tableau17[[#This Row],[CDS]]=""),"Oui","Non")</f>
        <v>Non</v>
      </c>
      <c r="AB115" s="75"/>
      <c r="AC115" s="75"/>
      <c r="AD115" s="75"/>
      <c r="AE115" s="75"/>
      <c r="AF115" s="75"/>
      <c r="AG115" s="75"/>
      <c r="AH115" s="75"/>
      <c r="AI115" s="75"/>
      <c r="AJ115" s="81"/>
      <c r="AK115" s="75"/>
      <c r="AL115" s="75"/>
    </row>
    <row r="116" spans="1:38" ht="15.75" hidden="1" thickBot="1" x14ac:dyDescent="0.3">
      <c r="A116" s="75"/>
      <c r="B116" s="75"/>
      <c r="C116" s="35">
        <f>INDEX(Données!$F$2:$L$54,MATCH(F116,Données!$F$2:$F$54,0),2)</f>
        <v>43955</v>
      </c>
      <c r="D116" s="29" t="str">
        <f t="shared" si="2"/>
        <v>#6</v>
      </c>
      <c r="E116" s="7">
        <f>Données!G20</f>
        <v>43955</v>
      </c>
      <c r="F116" s="6" t="str">
        <f>INDEX(Données!$F$2:$L$54,MATCH('#6'!E116,Données!$G$2:$G$54,1),1)</f>
        <v>19</v>
      </c>
      <c r="G116" s="18" t="str">
        <f t="shared" si="3"/>
        <v>S.O.</v>
      </c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1"/>
      <c r="W116" s="75"/>
      <c r="X116" s="75"/>
      <c r="Y116" s="75"/>
      <c r="Z116" s="96">
        <f>SUM(Tableau17[[#This Row],[A-1]:[G-5]])</f>
        <v>0</v>
      </c>
      <c r="AA116" s="96" t="str">
        <f>IF(AND(Z116&gt;0,Tableau17[[#This Row],[CDS]]=""),"Oui","Non")</f>
        <v>Non</v>
      </c>
      <c r="AB116" s="75"/>
      <c r="AC116" s="75"/>
      <c r="AD116" s="75"/>
      <c r="AE116" s="75"/>
      <c r="AF116" s="75"/>
      <c r="AG116" s="75"/>
      <c r="AH116" s="75"/>
      <c r="AI116" s="75"/>
      <c r="AJ116" s="81"/>
      <c r="AK116" s="75"/>
      <c r="AL116" s="75"/>
    </row>
    <row r="117" spans="1:38" ht="15.75" hidden="1" thickBot="1" x14ac:dyDescent="0.3">
      <c r="A117" s="75"/>
      <c r="B117" s="75"/>
      <c r="C117" s="35">
        <f>INDEX(Données!$F$2:$L$54,MATCH(F117,Données!$F$2:$F$54,0),2)</f>
        <v>43955</v>
      </c>
      <c r="D117" s="29" t="str">
        <f t="shared" si="2"/>
        <v>#6</v>
      </c>
      <c r="E117" s="7">
        <f>Données!H20</f>
        <v>43956</v>
      </c>
      <c r="F117" s="6" t="str">
        <f>INDEX(Données!$F$2:$L$54,MATCH('#6'!E117,Données!$G$2:$G$54,1),1)</f>
        <v>19</v>
      </c>
      <c r="G117" s="18" t="str">
        <f t="shared" si="3"/>
        <v>S.O.</v>
      </c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1"/>
      <c r="W117" s="75"/>
      <c r="X117" s="75"/>
      <c r="Y117" s="75"/>
      <c r="Z117" s="96">
        <f>SUM(Tableau17[[#This Row],[A-1]:[G-5]])</f>
        <v>0</v>
      </c>
      <c r="AA117" s="96" t="str">
        <f>IF(AND(Z117&gt;0,Tableau17[[#This Row],[CDS]]=""),"Oui","Non")</f>
        <v>Non</v>
      </c>
      <c r="AB117" s="75"/>
      <c r="AC117" s="75"/>
      <c r="AD117" s="75"/>
      <c r="AE117" s="75"/>
      <c r="AF117" s="75"/>
      <c r="AG117" s="75"/>
      <c r="AH117" s="75"/>
      <c r="AI117" s="75"/>
      <c r="AJ117" s="81"/>
      <c r="AK117" s="75"/>
      <c r="AL117" s="75"/>
    </row>
    <row r="118" spans="1:38" ht="15.75" hidden="1" thickBot="1" x14ac:dyDescent="0.3">
      <c r="A118" s="75"/>
      <c r="B118" s="75"/>
      <c r="C118" s="35">
        <f>INDEX(Données!$F$2:$L$54,MATCH(F118,Données!$F$2:$F$54,0),2)</f>
        <v>43955</v>
      </c>
      <c r="D118" s="29" t="str">
        <f t="shared" si="2"/>
        <v>#6</v>
      </c>
      <c r="E118" s="7">
        <f>Données!I20</f>
        <v>43957</v>
      </c>
      <c r="F118" s="6" t="str">
        <f>INDEX(Données!$F$2:$L$54,MATCH('#6'!E118,Données!$G$2:$G$54,1),1)</f>
        <v>19</v>
      </c>
      <c r="G118" s="18" t="str">
        <f t="shared" si="3"/>
        <v>S.O.</v>
      </c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1"/>
      <c r="W118" s="75"/>
      <c r="X118" s="75"/>
      <c r="Y118" s="75"/>
      <c r="Z118" s="96">
        <f>SUM(Tableau17[[#This Row],[A-1]:[G-5]])</f>
        <v>0</v>
      </c>
      <c r="AA118" s="96" t="str">
        <f>IF(AND(Z118&gt;0,Tableau17[[#This Row],[CDS]]=""),"Oui","Non")</f>
        <v>Non</v>
      </c>
      <c r="AB118" s="75"/>
      <c r="AC118" s="75"/>
      <c r="AD118" s="75"/>
      <c r="AE118" s="75"/>
      <c r="AF118" s="75"/>
      <c r="AG118" s="75"/>
      <c r="AH118" s="75"/>
      <c r="AI118" s="75"/>
      <c r="AJ118" s="81"/>
      <c r="AK118" s="75"/>
      <c r="AL118" s="75"/>
    </row>
    <row r="119" spans="1:38" ht="15.75" hidden="1" thickBot="1" x14ac:dyDescent="0.3">
      <c r="A119" s="75"/>
      <c r="B119" s="75"/>
      <c r="C119" s="35">
        <f>INDEX(Données!$F$2:$L$54,MATCH(F119,Données!$F$2:$F$54,0),2)</f>
        <v>43955</v>
      </c>
      <c r="D119" s="29" t="str">
        <f t="shared" si="2"/>
        <v>#6</v>
      </c>
      <c r="E119" s="7">
        <f>Données!J20</f>
        <v>43958</v>
      </c>
      <c r="F119" s="6" t="str">
        <f>INDEX(Données!$F$2:$L$54,MATCH('#6'!E119,Données!$G$2:$G$54,1),1)</f>
        <v>19</v>
      </c>
      <c r="G119" s="18" t="str">
        <f t="shared" si="3"/>
        <v>S.O.</v>
      </c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1"/>
      <c r="W119" s="75"/>
      <c r="X119" s="75"/>
      <c r="Y119" s="75"/>
      <c r="Z119" s="96">
        <f>SUM(Tableau17[[#This Row],[A-1]:[G-5]])</f>
        <v>0</v>
      </c>
      <c r="AA119" s="96" t="str">
        <f>IF(AND(Z119&gt;0,Tableau17[[#This Row],[CDS]]=""),"Oui","Non")</f>
        <v>Non</v>
      </c>
      <c r="AB119" s="75"/>
      <c r="AC119" s="75"/>
      <c r="AD119" s="75"/>
      <c r="AE119" s="75"/>
      <c r="AF119" s="75"/>
      <c r="AG119" s="75"/>
      <c r="AH119" s="75"/>
      <c r="AI119" s="75"/>
      <c r="AJ119" s="81"/>
      <c r="AK119" s="75"/>
      <c r="AL119" s="75"/>
    </row>
    <row r="120" spans="1:38" ht="15.75" hidden="1" thickBot="1" x14ac:dyDescent="0.3">
      <c r="A120" s="75"/>
      <c r="B120" s="75"/>
      <c r="C120" s="35">
        <f>INDEX(Données!$F$2:$L$54,MATCH(F120,Données!$F$2:$F$54,0),2)</f>
        <v>43955</v>
      </c>
      <c r="D120" s="29" t="str">
        <f t="shared" si="2"/>
        <v>#6</v>
      </c>
      <c r="E120" s="7">
        <f>Données!K20</f>
        <v>43959</v>
      </c>
      <c r="F120" s="6" t="str">
        <f>INDEX(Données!$F$2:$L$54,MATCH('#6'!E120,Données!$G$2:$G$54,1),1)</f>
        <v>19</v>
      </c>
      <c r="G120" s="18" t="str">
        <f t="shared" si="3"/>
        <v>S.O.</v>
      </c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1"/>
      <c r="W120" s="75"/>
      <c r="X120" s="75"/>
      <c r="Y120" s="75"/>
      <c r="Z120" s="96">
        <f>SUM(Tableau17[[#This Row],[A-1]:[G-5]])</f>
        <v>0</v>
      </c>
      <c r="AA120" s="96" t="str">
        <f>IF(AND(Z120&gt;0,Tableau17[[#This Row],[CDS]]=""),"Oui","Non")</f>
        <v>Non</v>
      </c>
      <c r="AB120" s="75"/>
      <c r="AC120" s="75"/>
      <c r="AD120" s="75"/>
      <c r="AE120" s="75"/>
      <c r="AF120" s="75"/>
      <c r="AG120" s="75"/>
      <c r="AH120" s="75"/>
      <c r="AI120" s="75"/>
      <c r="AJ120" s="81"/>
      <c r="AK120" s="75"/>
      <c r="AL120" s="75"/>
    </row>
    <row r="121" spans="1:38" ht="15.75" hidden="1" thickBot="1" x14ac:dyDescent="0.3">
      <c r="A121" s="75"/>
      <c r="B121" s="75"/>
      <c r="C121" s="35">
        <f>INDEX(Données!$F$2:$L$54,MATCH(F121,Données!$F$2:$F$54,0),2)</f>
        <v>43955</v>
      </c>
      <c r="D121" s="29" t="str">
        <f t="shared" si="2"/>
        <v>#6</v>
      </c>
      <c r="E121" s="7">
        <f>Données!L20</f>
        <v>43960</v>
      </c>
      <c r="F121" s="6" t="str">
        <f>INDEX(Données!$F$2:$L$54,MATCH('#6'!E121,Données!$G$2:$G$54,1),1)</f>
        <v>19</v>
      </c>
      <c r="G121" s="18" t="str">
        <f t="shared" si="3"/>
        <v>S.O.</v>
      </c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1"/>
      <c r="W121" s="75"/>
      <c r="X121" s="75"/>
      <c r="Y121" s="75"/>
      <c r="Z121" s="96">
        <f>SUM(Tableau17[[#This Row],[A-1]:[G-5]])</f>
        <v>0</v>
      </c>
      <c r="AA121" s="96" t="str">
        <f>IF(AND(Z121&gt;0,Tableau17[[#This Row],[CDS]]=""),"Oui","Non")</f>
        <v>Non</v>
      </c>
      <c r="AB121" s="75"/>
      <c r="AC121" s="75"/>
      <c r="AD121" s="75"/>
      <c r="AE121" s="75"/>
      <c r="AF121" s="75"/>
      <c r="AG121" s="75"/>
      <c r="AH121" s="75"/>
      <c r="AI121" s="75"/>
      <c r="AJ121" s="81"/>
      <c r="AK121" s="75"/>
      <c r="AL121" s="75"/>
    </row>
    <row r="122" spans="1:38" ht="15.75" hidden="1" thickBot="1" x14ac:dyDescent="0.3">
      <c r="A122" s="75"/>
      <c r="B122" s="75"/>
      <c r="C122" s="35">
        <f>INDEX(Données!$F$2:$L$54,MATCH(F122,Données!$F$2:$F$54,0),2)</f>
        <v>43962</v>
      </c>
      <c r="D122" s="29" t="str">
        <f t="shared" si="2"/>
        <v>#6</v>
      </c>
      <c r="E122" s="7">
        <f>Données!G21</f>
        <v>43962</v>
      </c>
      <c r="F122" s="6" t="str">
        <f>INDEX(Données!$F$2:$L$54,MATCH('#6'!E122,Données!$G$2:$G$54,1),1)</f>
        <v>20</v>
      </c>
      <c r="G122" s="18" t="str">
        <f t="shared" si="3"/>
        <v>S.O.</v>
      </c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1"/>
      <c r="W122" s="75"/>
      <c r="X122" s="75"/>
      <c r="Y122" s="75"/>
      <c r="Z122" s="96">
        <f>SUM(Tableau17[[#This Row],[A-1]:[G-5]])</f>
        <v>0</v>
      </c>
      <c r="AA122" s="96" t="str">
        <f>IF(AND(Z122&gt;0,Tableau17[[#This Row],[CDS]]=""),"Oui","Non")</f>
        <v>Non</v>
      </c>
      <c r="AB122" s="75"/>
      <c r="AC122" s="75"/>
      <c r="AD122" s="75"/>
      <c r="AE122" s="75"/>
      <c r="AF122" s="75"/>
      <c r="AG122" s="75"/>
      <c r="AH122" s="75"/>
      <c r="AI122" s="75"/>
      <c r="AJ122" s="81"/>
      <c r="AK122" s="75"/>
      <c r="AL122" s="75"/>
    </row>
    <row r="123" spans="1:38" ht="15.75" hidden="1" thickBot="1" x14ac:dyDescent="0.3">
      <c r="A123" s="75"/>
      <c r="B123" s="75"/>
      <c r="C123" s="35">
        <f>INDEX(Données!$F$2:$L$54,MATCH(F123,Données!$F$2:$F$54,0),2)</f>
        <v>43962</v>
      </c>
      <c r="D123" s="29" t="str">
        <f t="shared" si="2"/>
        <v>#6</v>
      </c>
      <c r="E123" s="7">
        <f>Données!H21</f>
        <v>43963</v>
      </c>
      <c r="F123" s="6" t="str">
        <f>INDEX(Données!$F$2:$L$54,MATCH('#6'!E123,Données!$G$2:$G$54,1),1)</f>
        <v>20</v>
      </c>
      <c r="G123" s="18" t="str">
        <f t="shared" si="3"/>
        <v>S.O.</v>
      </c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1"/>
      <c r="W123" s="75"/>
      <c r="X123" s="75"/>
      <c r="Y123" s="75"/>
      <c r="Z123" s="96">
        <f>SUM(Tableau17[[#This Row],[A-1]:[G-5]])</f>
        <v>0</v>
      </c>
      <c r="AA123" s="96" t="str">
        <f>IF(AND(Z123&gt;0,Tableau17[[#This Row],[CDS]]=""),"Oui","Non")</f>
        <v>Non</v>
      </c>
      <c r="AB123" s="75"/>
      <c r="AC123" s="75"/>
      <c r="AD123" s="75"/>
      <c r="AE123" s="75"/>
      <c r="AF123" s="75"/>
      <c r="AG123" s="75"/>
      <c r="AH123" s="75"/>
      <c r="AI123" s="75"/>
      <c r="AJ123" s="81"/>
      <c r="AK123" s="75"/>
      <c r="AL123" s="75"/>
    </row>
    <row r="124" spans="1:38" ht="15.75" hidden="1" thickBot="1" x14ac:dyDescent="0.3">
      <c r="A124" s="75"/>
      <c r="B124" s="75"/>
      <c r="C124" s="35">
        <f>INDEX(Données!$F$2:$L$54,MATCH(F124,Données!$F$2:$F$54,0),2)</f>
        <v>43962</v>
      </c>
      <c r="D124" s="29" t="str">
        <f t="shared" si="2"/>
        <v>#6</v>
      </c>
      <c r="E124" s="7">
        <f>Données!I21</f>
        <v>43964</v>
      </c>
      <c r="F124" s="6" t="str">
        <f>INDEX(Données!$F$2:$L$54,MATCH('#6'!E124,Données!$G$2:$G$54,1),1)</f>
        <v>20</v>
      </c>
      <c r="G124" s="18" t="str">
        <f t="shared" si="3"/>
        <v>S.O.</v>
      </c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1"/>
      <c r="W124" s="75"/>
      <c r="X124" s="75"/>
      <c r="Y124" s="75"/>
      <c r="Z124" s="96">
        <f>SUM(Tableau17[[#This Row],[A-1]:[G-5]])</f>
        <v>0</v>
      </c>
      <c r="AA124" s="96" t="str">
        <f>IF(AND(Z124&gt;0,Tableau17[[#This Row],[CDS]]=""),"Oui","Non")</f>
        <v>Non</v>
      </c>
      <c r="AB124" s="75"/>
      <c r="AC124" s="75"/>
      <c r="AD124" s="75"/>
      <c r="AE124" s="75"/>
      <c r="AF124" s="75"/>
      <c r="AG124" s="75"/>
      <c r="AH124" s="75"/>
      <c r="AI124" s="75"/>
      <c r="AJ124" s="81"/>
      <c r="AK124" s="75"/>
      <c r="AL124" s="75"/>
    </row>
    <row r="125" spans="1:38" ht="15.75" hidden="1" thickBot="1" x14ac:dyDescent="0.3">
      <c r="A125" s="75"/>
      <c r="B125" s="75"/>
      <c r="C125" s="35">
        <f>INDEX(Données!$F$2:$L$54,MATCH(F125,Données!$F$2:$F$54,0),2)</f>
        <v>43962</v>
      </c>
      <c r="D125" s="29" t="str">
        <f t="shared" si="2"/>
        <v>#6</v>
      </c>
      <c r="E125" s="7">
        <f>Données!J21</f>
        <v>43965</v>
      </c>
      <c r="F125" s="6" t="str">
        <f>INDEX(Données!$F$2:$L$54,MATCH('#6'!E125,Données!$G$2:$G$54,1),1)</f>
        <v>20</v>
      </c>
      <c r="G125" s="18" t="str">
        <f t="shared" si="3"/>
        <v>S.O.</v>
      </c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1"/>
      <c r="W125" s="75"/>
      <c r="X125" s="75"/>
      <c r="Y125" s="75"/>
      <c r="Z125" s="96">
        <f>SUM(Tableau17[[#This Row],[A-1]:[G-5]])</f>
        <v>0</v>
      </c>
      <c r="AA125" s="96" t="str">
        <f>IF(AND(Z125&gt;0,Tableau17[[#This Row],[CDS]]=""),"Oui","Non")</f>
        <v>Non</v>
      </c>
      <c r="AB125" s="75"/>
      <c r="AC125" s="75"/>
      <c r="AD125" s="75"/>
      <c r="AE125" s="75"/>
      <c r="AF125" s="75"/>
      <c r="AG125" s="75"/>
      <c r="AH125" s="75"/>
      <c r="AI125" s="75"/>
      <c r="AJ125" s="81"/>
      <c r="AK125" s="75"/>
      <c r="AL125" s="75"/>
    </row>
    <row r="126" spans="1:38" ht="15.75" hidden="1" thickBot="1" x14ac:dyDescent="0.3">
      <c r="A126" s="75"/>
      <c r="B126" s="75"/>
      <c r="C126" s="35">
        <f>INDEX(Données!$F$2:$L$54,MATCH(F126,Données!$F$2:$F$54,0),2)</f>
        <v>43962</v>
      </c>
      <c r="D126" s="29" t="str">
        <f t="shared" si="2"/>
        <v>#6</v>
      </c>
      <c r="E126" s="7">
        <f>Données!K21</f>
        <v>43966</v>
      </c>
      <c r="F126" s="6" t="str">
        <f>INDEX(Données!$F$2:$L$54,MATCH('#6'!E126,Données!$G$2:$G$54,1),1)</f>
        <v>20</v>
      </c>
      <c r="G126" s="18" t="str">
        <f t="shared" si="3"/>
        <v>S.O.</v>
      </c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1"/>
      <c r="W126" s="75"/>
      <c r="X126" s="75"/>
      <c r="Y126" s="75"/>
      <c r="Z126" s="96">
        <f>SUM(Tableau17[[#This Row],[A-1]:[G-5]])</f>
        <v>0</v>
      </c>
      <c r="AA126" s="96" t="str">
        <f>IF(AND(Z126&gt;0,Tableau17[[#This Row],[CDS]]=""),"Oui","Non")</f>
        <v>Non</v>
      </c>
      <c r="AB126" s="75"/>
      <c r="AC126" s="75"/>
      <c r="AD126" s="75"/>
      <c r="AE126" s="75"/>
      <c r="AF126" s="75"/>
      <c r="AG126" s="75"/>
      <c r="AH126" s="75"/>
      <c r="AI126" s="75"/>
      <c r="AJ126" s="81"/>
      <c r="AK126" s="75"/>
      <c r="AL126" s="75"/>
    </row>
    <row r="127" spans="1:38" ht="15.75" hidden="1" thickBot="1" x14ac:dyDescent="0.3">
      <c r="A127" s="75"/>
      <c r="B127" s="75"/>
      <c r="C127" s="35">
        <f>INDEX(Données!$F$2:$L$54,MATCH(F127,Données!$F$2:$F$54,0),2)</f>
        <v>43962</v>
      </c>
      <c r="D127" s="29" t="str">
        <f t="shared" si="2"/>
        <v>#6</v>
      </c>
      <c r="E127" s="7">
        <f>Données!L21</f>
        <v>43967</v>
      </c>
      <c r="F127" s="6" t="str">
        <f>INDEX(Données!$F$2:$L$54,MATCH('#6'!E127,Données!$G$2:$G$54,1),1)</f>
        <v>20</v>
      </c>
      <c r="G127" s="18" t="str">
        <f t="shared" si="3"/>
        <v>S.O.</v>
      </c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1"/>
      <c r="W127" s="75"/>
      <c r="X127" s="75"/>
      <c r="Y127" s="75"/>
      <c r="Z127" s="96">
        <f>SUM(Tableau17[[#This Row],[A-1]:[G-5]])</f>
        <v>0</v>
      </c>
      <c r="AA127" s="96" t="str">
        <f>IF(AND(Z127&gt;0,Tableau17[[#This Row],[CDS]]=""),"Oui","Non")</f>
        <v>Non</v>
      </c>
      <c r="AB127" s="75"/>
      <c r="AC127" s="75"/>
      <c r="AD127" s="75"/>
      <c r="AE127" s="75"/>
      <c r="AF127" s="75"/>
      <c r="AG127" s="75"/>
      <c r="AH127" s="75"/>
      <c r="AI127" s="75"/>
      <c r="AJ127" s="81"/>
      <c r="AK127" s="75"/>
      <c r="AL127" s="75"/>
    </row>
    <row r="128" spans="1:38" ht="15.75" hidden="1" thickBot="1" x14ac:dyDescent="0.3">
      <c r="A128" s="75"/>
      <c r="B128" s="75"/>
      <c r="C128" s="35">
        <f>INDEX(Données!$F$2:$L$54,MATCH(F128,Données!$F$2:$F$54,0),2)</f>
        <v>43969</v>
      </c>
      <c r="D128" s="29" t="str">
        <f t="shared" si="2"/>
        <v>#6</v>
      </c>
      <c r="E128" s="7">
        <f>Données!G22</f>
        <v>43969</v>
      </c>
      <c r="F128" s="6" t="str">
        <f>INDEX(Données!$F$2:$L$54,MATCH('#6'!E128,Données!$G$2:$G$54,1),1)</f>
        <v>21</v>
      </c>
      <c r="G128" s="18" t="str">
        <f t="shared" si="3"/>
        <v>S.O.</v>
      </c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1"/>
      <c r="W128" s="75"/>
      <c r="X128" s="75"/>
      <c r="Y128" s="75"/>
      <c r="Z128" s="96">
        <f>SUM(Tableau17[[#This Row],[A-1]:[G-5]])</f>
        <v>0</v>
      </c>
      <c r="AA128" s="96" t="str">
        <f>IF(AND(Z128&gt;0,Tableau17[[#This Row],[CDS]]=""),"Oui","Non")</f>
        <v>Non</v>
      </c>
      <c r="AB128" s="75"/>
      <c r="AC128" s="75"/>
      <c r="AD128" s="75"/>
      <c r="AE128" s="75"/>
      <c r="AF128" s="75"/>
      <c r="AG128" s="75"/>
      <c r="AH128" s="75"/>
      <c r="AI128" s="75"/>
      <c r="AJ128" s="81"/>
      <c r="AK128" s="75"/>
      <c r="AL128" s="75"/>
    </row>
    <row r="129" spans="1:38" ht="15.75" hidden="1" thickBot="1" x14ac:dyDescent="0.3">
      <c r="A129" s="75"/>
      <c r="B129" s="75"/>
      <c r="C129" s="35">
        <f>INDEX(Données!$F$2:$L$54,MATCH(F129,Données!$F$2:$F$54,0),2)</f>
        <v>43969</v>
      </c>
      <c r="D129" s="29" t="str">
        <f t="shared" si="2"/>
        <v>#6</v>
      </c>
      <c r="E129" s="7">
        <f>Données!H22</f>
        <v>43970</v>
      </c>
      <c r="F129" s="6" t="str">
        <f>INDEX(Données!$F$2:$L$54,MATCH('#6'!E129,Données!$G$2:$G$54,1),1)</f>
        <v>21</v>
      </c>
      <c r="G129" s="18" t="str">
        <f t="shared" si="3"/>
        <v>S.O.</v>
      </c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1"/>
      <c r="W129" s="75"/>
      <c r="X129" s="75"/>
      <c r="Y129" s="75"/>
      <c r="Z129" s="96">
        <f>SUM(Tableau17[[#This Row],[A-1]:[G-5]])</f>
        <v>0</v>
      </c>
      <c r="AA129" s="96" t="str">
        <f>IF(AND(Z129&gt;0,Tableau17[[#This Row],[CDS]]=""),"Oui","Non")</f>
        <v>Non</v>
      </c>
      <c r="AB129" s="75"/>
      <c r="AC129" s="75"/>
      <c r="AD129" s="75"/>
      <c r="AE129" s="75"/>
      <c r="AF129" s="75"/>
      <c r="AG129" s="75"/>
      <c r="AH129" s="75"/>
      <c r="AI129" s="75"/>
      <c r="AJ129" s="81"/>
      <c r="AK129" s="75"/>
      <c r="AL129" s="75"/>
    </row>
    <row r="130" spans="1:38" ht="15.75" hidden="1" thickBot="1" x14ac:dyDescent="0.3">
      <c r="A130" s="75"/>
      <c r="B130" s="75"/>
      <c r="C130" s="35">
        <f>INDEX(Données!$F$2:$L$54,MATCH(F130,Données!$F$2:$F$54,0),2)</f>
        <v>43969</v>
      </c>
      <c r="D130" s="29" t="str">
        <f t="shared" si="2"/>
        <v>#6</v>
      </c>
      <c r="E130" s="7">
        <f>Données!I22</f>
        <v>43971</v>
      </c>
      <c r="F130" s="6" t="str">
        <f>INDEX(Données!$F$2:$L$54,MATCH('#6'!E130,Données!$G$2:$G$54,1),1)</f>
        <v>21</v>
      </c>
      <c r="G130" s="18" t="str">
        <f t="shared" si="3"/>
        <v>S.O.</v>
      </c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1"/>
      <c r="W130" s="75"/>
      <c r="X130" s="75"/>
      <c r="Y130" s="75"/>
      <c r="Z130" s="96">
        <f>SUM(Tableau17[[#This Row],[A-1]:[G-5]])</f>
        <v>0</v>
      </c>
      <c r="AA130" s="96" t="str">
        <f>IF(AND(Z130&gt;0,Tableau17[[#This Row],[CDS]]=""),"Oui","Non")</f>
        <v>Non</v>
      </c>
      <c r="AB130" s="75"/>
      <c r="AC130" s="75"/>
      <c r="AD130" s="75"/>
      <c r="AE130" s="75"/>
      <c r="AF130" s="75"/>
      <c r="AG130" s="75"/>
      <c r="AH130" s="75"/>
      <c r="AI130" s="75"/>
      <c r="AJ130" s="81"/>
      <c r="AK130" s="75"/>
      <c r="AL130" s="75"/>
    </row>
    <row r="131" spans="1:38" ht="15.75" hidden="1" thickBot="1" x14ac:dyDescent="0.3">
      <c r="A131" s="75"/>
      <c r="B131" s="75"/>
      <c r="C131" s="35">
        <f>INDEX(Données!$F$2:$L$54,MATCH(F131,Données!$F$2:$F$54,0),2)</f>
        <v>43969</v>
      </c>
      <c r="D131" s="29" t="str">
        <f t="shared" si="2"/>
        <v>#6</v>
      </c>
      <c r="E131" s="7">
        <f>Données!J22</f>
        <v>43972</v>
      </c>
      <c r="F131" s="6" t="str">
        <f>INDEX(Données!$F$2:$L$54,MATCH('#6'!E131,Données!$G$2:$G$54,1),1)</f>
        <v>21</v>
      </c>
      <c r="G131" s="18" t="str">
        <f t="shared" si="3"/>
        <v>S.O.</v>
      </c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1"/>
      <c r="W131" s="75"/>
      <c r="X131" s="75"/>
      <c r="Y131" s="75"/>
      <c r="Z131" s="96">
        <f>SUM(Tableau17[[#This Row],[A-1]:[G-5]])</f>
        <v>0</v>
      </c>
      <c r="AA131" s="96" t="str">
        <f>IF(AND(Z131&gt;0,Tableau17[[#This Row],[CDS]]=""),"Oui","Non")</f>
        <v>Non</v>
      </c>
      <c r="AB131" s="75"/>
      <c r="AC131" s="75"/>
      <c r="AD131" s="75"/>
      <c r="AE131" s="75"/>
      <c r="AF131" s="75"/>
      <c r="AG131" s="75"/>
      <c r="AH131" s="75"/>
      <c r="AI131" s="75"/>
      <c r="AJ131" s="81"/>
      <c r="AK131" s="75"/>
      <c r="AL131" s="75"/>
    </row>
    <row r="132" spans="1:38" ht="15.75" hidden="1" thickBot="1" x14ac:dyDescent="0.3">
      <c r="A132" s="75"/>
      <c r="B132" s="75"/>
      <c r="C132" s="35">
        <f>INDEX(Données!$F$2:$L$54,MATCH(F132,Données!$F$2:$F$54,0),2)</f>
        <v>43969</v>
      </c>
      <c r="D132" s="29" t="str">
        <f t="shared" si="2"/>
        <v>#6</v>
      </c>
      <c r="E132" s="7">
        <f>Données!K22</f>
        <v>43973</v>
      </c>
      <c r="F132" s="6" t="str">
        <f>INDEX(Données!$F$2:$L$54,MATCH('#6'!E132,Données!$G$2:$G$54,1),1)</f>
        <v>21</v>
      </c>
      <c r="G132" s="18" t="str">
        <f t="shared" si="3"/>
        <v>S.O.</v>
      </c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1"/>
      <c r="W132" s="75"/>
      <c r="X132" s="75"/>
      <c r="Y132" s="75"/>
      <c r="Z132" s="96">
        <f>SUM(Tableau17[[#This Row],[A-1]:[G-5]])</f>
        <v>0</v>
      </c>
      <c r="AA132" s="96" t="str">
        <f>IF(AND(Z132&gt;0,Tableau17[[#This Row],[CDS]]=""),"Oui","Non")</f>
        <v>Non</v>
      </c>
      <c r="AB132" s="75"/>
      <c r="AC132" s="75"/>
      <c r="AD132" s="75"/>
      <c r="AE132" s="75"/>
      <c r="AF132" s="75"/>
      <c r="AG132" s="75"/>
      <c r="AH132" s="75"/>
      <c r="AI132" s="75"/>
      <c r="AJ132" s="81"/>
      <c r="AK132" s="75"/>
      <c r="AL132" s="75"/>
    </row>
    <row r="133" spans="1:38" ht="15.75" hidden="1" thickBot="1" x14ac:dyDescent="0.3">
      <c r="A133" s="75"/>
      <c r="B133" s="75"/>
      <c r="C133" s="35">
        <f>INDEX(Données!$F$2:$L$54,MATCH(F133,Données!$F$2:$F$54,0),2)</f>
        <v>43969</v>
      </c>
      <c r="D133" s="29" t="str">
        <f t="shared" si="2"/>
        <v>#6</v>
      </c>
      <c r="E133" s="7">
        <f>Données!L22</f>
        <v>43974</v>
      </c>
      <c r="F133" s="6" t="str">
        <f>INDEX(Données!$F$2:$L$54,MATCH('#6'!E133,Données!$G$2:$G$54,1),1)</f>
        <v>21</v>
      </c>
      <c r="G133" s="18" t="str">
        <f t="shared" si="3"/>
        <v>S.O.</v>
      </c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1"/>
      <c r="W133" s="75"/>
      <c r="X133" s="75"/>
      <c r="Y133" s="75"/>
      <c r="Z133" s="96">
        <f>SUM(Tableau17[[#This Row],[A-1]:[G-5]])</f>
        <v>0</v>
      </c>
      <c r="AA133" s="96" t="str">
        <f>IF(AND(Z133&gt;0,Tableau17[[#This Row],[CDS]]=""),"Oui","Non")</f>
        <v>Non</v>
      </c>
      <c r="AB133" s="75"/>
      <c r="AC133" s="75"/>
      <c r="AD133" s="75"/>
      <c r="AE133" s="75"/>
      <c r="AF133" s="75"/>
      <c r="AG133" s="75"/>
      <c r="AH133" s="75"/>
      <c r="AI133" s="75"/>
      <c r="AJ133" s="81"/>
      <c r="AK133" s="75"/>
      <c r="AL133" s="75"/>
    </row>
    <row r="134" spans="1:38" ht="15.75" hidden="1" thickBot="1" x14ac:dyDescent="0.3">
      <c r="A134" s="75"/>
      <c r="B134" s="75"/>
      <c r="C134" s="35">
        <f>INDEX(Données!$F$2:$L$54,MATCH(F134,Données!$F$2:$F$54,0),2)</f>
        <v>43976</v>
      </c>
      <c r="D134" s="29" t="str">
        <f t="shared" si="2"/>
        <v>#6</v>
      </c>
      <c r="E134" s="7">
        <f>Données!G23</f>
        <v>43976</v>
      </c>
      <c r="F134" s="6" t="str">
        <f>INDEX(Données!$F$2:$L$54,MATCH('#6'!E134,Données!$G$2:$G$54,1),1)</f>
        <v>22</v>
      </c>
      <c r="G134" s="18" t="str">
        <f t="shared" si="3"/>
        <v>S.O.</v>
      </c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1"/>
      <c r="W134" s="75"/>
      <c r="X134" s="75"/>
      <c r="Y134" s="75"/>
      <c r="Z134" s="96">
        <f>SUM(Tableau17[[#This Row],[A-1]:[G-5]])</f>
        <v>0</v>
      </c>
      <c r="AA134" s="96" t="str">
        <f>IF(AND(Z134&gt;0,Tableau17[[#This Row],[CDS]]=""),"Oui","Non")</f>
        <v>Non</v>
      </c>
      <c r="AB134" s="75"/>
      <c r="AC134" s="75"/>
      <c r="AD134" s="75"/>
      <c r="AE134" s="75"/>
      <c r="AF134" s="75"/>
      <c r="AG134" s="75"/>
      <c r="AH134" s="75"/>
      <c r="AI134" s="75"/>
      <c r="AJ134" s="81"/>
      <c r="AK134" s="75"/>
      <c r="AL134" s="75"/>
    </row>
    <row r="135" spans="1:38" ht="15.75" hidden="1" thickBot="1" x14ac:dyDescent="0.3">
      <c r="A135" s="75"/>
      <c r="B135" s="75"/>
      <c r="C135" s="35">
        <f>INDEX(Données!$F$2:$L$54,MATCH(F135,Données!$F$2:$F$54,0),2)</f>
        <v>43976</v>
      </c>
      <c r="D135" s="29" t="str">
        <f t="shared" si="2"/>
        <v>#6</v>
      </c>
      <c r="E135" s="7">
        <f>Données!H23</f>
        <v>43977</v>
      </c>
      <c r="F135" s="6" t="str">
        <f>INDEX(Données!$F$2:$L$54,MATCH('#6'!E135,Données!$G$2:$G$54,1),1)</f>
        <v>22</v>
      </c>
      <c r="G135" s="18" t="str">
        <f t="shared" si="3"/>
        <v>S.O.</v>
      </c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1"/>
      <c r="W135" s="75"/>
      <c r="X135" s="75"/>
      <c r="Y135" s="75"/>
      <c r="Z135" s="96">
        <f>SUM(Tableau17[[#This Row],[A-1]:[G-5]])</f>
        <v>0</v>
      </c>
      <c r="AA135" s="96" t="str">
        <f>IF(AND(Z135&gt;0,Tableau17[[#This Row],[CDS]]=""),"Oui","Non")</f>
        <v>Non</v>
      </c>
      <c r="AB135" s="75"/>
      <c r="AC135" s="75"/>
      <c r="AD135" s="75"/>
      <c r="AE135" s="75"/>
      <c r="AF135" s="75"/>
      <c r="AG135" s="75"/>
      <c r="AH135" s="75"/>
      <c r="AI135" s="75"/>
      <c r="AJ135" s="81"/>
      <c r="AK135" s="75"/>
      <c r="AL135" s="75"/>
    </row>
    <row r="136" spans="1:38" ht="15.75" hidden="1" thickBot="1" x14ac:dyDescent="0.3">
      <c r="A136" s="75"/>
      <c r="B136" s="75"/>
      <c r="C136" s="35">
        <f>INDEX(Données!$F$2:$L$54,MATCH(F136,Données!$F$2:$F$54,0),2)</f>
        <v>43976</v>
      </c>
      <c r="D136" s="29" t="str">
        <f t="shared" ref="D136:D199" si="4">$E$4</f>
        <v>#6</v>
      </c>
      <c r="E136" s="7">
        <f>Données!I23</f>
        <v>43978</v>
      </c>
      <c r="F136" s="6" t="str">
        <f>INDEX(Données!$F$2:$L$54,MATCH('#6'!E136,Données!$G$2:$G$54,1),1)</f>
        <v>22</v>
      </c>
      <c r="G136" s="18" t="str">
        <f t="shared" ref="G136:G199" si="5">IF(AND($V$5=1),"PS-1",IF(AND($V$5=2),"PS-2",IF(AND($V$5=4),"PS-4",IF(AND($V$5=6),"S.O.",IF(AND($V$5=5),"")))))</f>
        <v>S.O.</v>
      </c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1"/>
      <c r="W136" s="75"/>
      <c r="X136" s="75"/>
      <c r="Y136" s="75"/>
      <c r="Z136" s="96">
        <f>SUM(Tableau17[[#This Row],[A-1]:[G-5]])</f>
        <v>0</v>
      </c>
      <c r="AA136" s="96" t="str">
        <f>IF(AND(Z136&gt;0,Tableau17[[#This Row],[CDS]]=""),"Oui","Non")</f>
        <v>Non</v>
      </c>
      <c r="AB136" s="75"/>
      <c r="AC136" s="75"/>
      <c r="AD136" s="75"/>
      <c r="AE136" s="75"/>
      <c r="AF136" s="75"/>
      <c r="AG136" s="75"/>
      <c r="AH136" s="75"/>
      <c r="AI136" s="75"/>
      <c r="AJ136" s="81"/>
      <c r="AK136" s="75"/>
      <c r="AL136" s="75"/>
    </row>
    <row r="137" spans="1:38" ht="15.75" hidden="1" thickBot="1" x14ac:dyDescent="0.3">
      <c r="A137" s="75"/>
      <c r="B137" s="75"/>
      <c r="C137" s="35">
        <f>INDEX(Données!$F$2:$L$54,MATCH(F137,Données!$F$2:$F$54,0),2)</f>
        <v>43976</v>
      </c>
      <c r="D137" s="29" t="str">
        <f t="shared" si="4"/>
        <v>#6</v>
      </c>
      <c r="E137" s="7">
        <f>Données!J23</f>
        <v>43979</v>
      </c>
      <c r="F137" s="6" t="str">
        <f>INDEX(Données!$F$2:$L$54,MATCH('#6'!E137,Données!$G$2:$G$54,1),1)</f>
        <v>22</v>
      </c>
      <c r="G137" s="18" t="str">
        <f t="shared" si="5"/>
        <v>S.O.</v>
      </c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1"/>
      <c r="W137" s="75"/>
      <c r="X137" s="75"/>
      <c r="Y137" s="75"/>
      <c r="Z137" s="96">
        <f>SUM(Tableau17[[#This Row],[A-1]:[G-5]])</f>
        <v>0</v>
      </c>
      <c r="AA137" s="96" t="str">
        <f>IF(AND(Z137&gt;0,Tableau17[[#This Row],[CDS]]=""),"Oui","Non")</f>
        <v>Non</v>
      </c>
      <c r="AB137" s="75"/>
      <c r="AC137" s="75"/>
      <c r="AD137" s="75"/>
      <c r="AE137" s="75"/>
      <c r="AF137" s="75"/>
      <c r="AG137" s="75"/>
      <c r="AH137" s="75"/>
      <c r="AI137" s="75"/>
      <c r="AJ137" s="81"/>
      <c r="AK137" s="75"/>
      <c r="AL137" s="75"/>
    </row>
    <row r="138" spans="1:38" ht="15.75" hidden="1" thickBot="1" x14ac:dyDescent="0.3">
      <c r="A138" s="75"/>
      <c r="B138" s="75"/>
      <c r="C138" s="35">
        <f>INDEX(Données!$F$2:$L$54,MATCH(F138,Données!$F$2:$F$54,0),2)</f>
        <v>43976</v>
      </c>
      <c r="D138" s="29" t="str">
        <f t="shared" si="4"/>
        <v>#6</v>
      </c>
      <c r="E138" s="7">
        <f>Données!K23</f>
        <v>43980</v>
      </c>
      <c r="F138" s="6" t="str">
        <f>INDEX(Données!$F$2:$L$54,MATCH('#6'!E138,Données!$G$2:$G$54,1),1)</f>
        <v>22</v>
      </c>
      <c r="G138" s="18" t="str">
        <f t="shared" si="5"/>
        <v>S.O.</v>
      </c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1"/>
      <c r="W138" s="75"/>
      <c r="X138" s="75"/>
      <c r="Y138" s="75"/>
      <c r="Z138" s="96">
        <f>SUM(Tableau17[[#This Row],[A-1]:[G-5]])</f>
        <v>0</v>
      </c>
      <c r="AA138" s="96" t="str">
        <f>IF(AND(Z138&gt;0,Tableau17[[#This Row],[CDS]]=""),"Oui","Non")</f>
        <v>Non</v>
      </c>
      <c r="AB138" s="75"/>
      <c r="AC138" s="75"/>
      <c r="AD138" s="75"/>
      <c r="AE138" s="75"/>
      <c r="AF138" s="75"/>
      <c r="AG138" s="75"/>
      <c r="AH138" s="75"/>
      <c r="AI138" s="75"/>
      <c r="AJ138" s="81"/>
      <c r="AK138" s="75"/>
      <c r="AL138" s="75"/>
    </row>
    <row r="139" spans="1:38" ht="15.75" hidden="1" thickBot="1" x14ac:dyDescent="0.3">
      <c r="A139" s="75"/>
      <c r="B139" s="75"/>
      <c r="C139" s="35">
        <f>INDEX(Données!$F$2:$L$54,MATCH(F139,Données!$F$2:$F$54,0),2)</f>
        <v>43976</v>
      </c>
      <c r="D139" s="29" t="str">
        <f t="shared" si="4"/>
        <v>#6</v>
      </c>
      <c r="E139" s="7">
        <f>Données!L23</f>
        <v>43981</v>
      </c>
      <c r="F139" s="6" t="str">
        <f>INDEX(Données!$F$2:$L$54,MATCH('#6'!E139,Données!$G$2:$G$54,1),1)</f>
        <v>22</v>
      </c>
      <c r="G139" s="18" t="str">
        <f t="shared" si="5"/>
        <v>S.O.</v>
      </c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1"/>
      <c r="W139" s="75"/>
      <c r="X139" s="75"/>
      <c r="Y139" s="75"/>
      <c r="Z139" s="96">
        <f>SUM(Tableau17[[#This Row],[A-1]:[G-5]])</f>
        <v>0</v>
      </c>
      <c r="AA139" s="96" t="str">
        <f>IF(AND(Z139&gt;0,Tableau17[[#This Row],[CDS]]=""),"Oui","Non")</f>
        <v>Non</v>
      </c>
      <c r="AB139" s="75"/>
      <c r="AC139" s="75"/>
      <c r="AD139" s="75"/>
      <c r="AE139" s="75"/>
      <c r="AF139" s="75"/>
      <c r="AG139" s="75"/>
      <c r="AH139" s="75"/>
      <c r="AI139" s="75"/>
      <c r="AJ139" s="81"/>
      <c r="AK139" s="75"/>
      <c r="AL139" s="75"/>
    </row>
    <row r="140" spans="1:38" ht="15.75" hidden="1" thickBot="1" x14ac:dyDescent="0.3">
      <c r="A140" s="75"/>
      <c r="B140" s="75"/>
      <c r="C140" s="35">
        <f>INDEX(Données!$F$2:$L$54,MATCH(F140,Données!$F$2:$F$54,0),2)</f>
        <v>43983</v>
      </c>
      <c r="D140" s="29" t="str">
        <f t="shared" si="4"/>
        <v>#6</v>
      </c>
      <c r="E140" s="7">
        <f>Données!G24</f>
        <v>43983</v>
      </c>
      <c r="F140" s="6" t="str">
        <f>INDEX(Données!$F$2:$L$54,MATCH('#6'!E140,Données!$G$2:$G$54,1),1)</f>
        <v>23</v>
      </c>
      <c r="G140" s="18" t="str">
        <f t="shared" si="5"/>
        <v>S.O.</v>
      </c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1"/>
      <c r="W140" s="75"/>
      <c r="X140" s="75"/>
      <c r="Y140" s="75"/>
      <c r="Z140" s="96">
        <f>SUM(Tableau17[[#This Row],[A-1]:[G-5]])</f>
        <v>0</v>
      </c>
      <c r="AA140" s="96" t="str">
        <f>IF(AND(Z140&gt;0,Tableau17[[#This Row],[CDS]]=""),"Oui","Non")</f>
        <v>Non</v>
      </c>
      <c r="AB140" s="75"/>
      <c r="AC140" s="75"/>
      <c r="AD140" s="75"/>
      <c r="AE140" s="75"/>
      <c r="AF140" s="75"/>
      <c r="AG140" s="75"/>
      <c r="AH140" s="75"/>
      <c r="AI140" s="75"/>
      <c r="AJ140" s="81"/>
      <c r="AK140" s="75"/>
      <c r="AL140" s="75"/>
    </row>
    <row r="141" spans="1:38" ht="15.75" hidden="1" thickBot="1" x14ac:dyDescent="0.3">
      <c r="A141" s="75"/>
      <c r="B141" s="75"/>
      <c r="C141" s="35">
        <f>INDEX(Données!$F$2:$L$54,MATCH(F141,Données!$F$2:$F$54,0),2)</f>
        <v>43983</v>
      </c>
      <c r="D141" s="29" t="str">
        <f t="shared" si="4"/>
        <v>#6</v>
      </c>
      <c r="E141" s="7">
        <f>Données!H24</f>
        <v>43984</v>
      </c>
      <c r="F141" s="6" t="str">
        <f>INDEX(Données!$F$2:$L$54,MATCH('#6'!E141,Données!$G$2:$G$54,1),1)</f>
        <v>23</v>
      </c>
      <c r="G141" s="18" t="str">
        <f t="shared" si="5"/>
        <v>S.O.</v>
      </c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1"/>
      <c r="W141" s="75"/>
      <c r="X141" s="75"/>
      <c r="Y141" s="75"/>
      <c r="Z141" s="96">
        <f>SUM(Tableau17[[#This Row],[A-1]:[G-5]])</f>
        <v>0</v>
      </c>
      <c r="AA141" s="96" t="str">
        <f>IF(AND(Z141&gt;0,Tableau17[[#This Row],[CDS]]=""),"Oui","Non")</f>
        <v>Non</v>
      </c>
      <c r="AB141" s="75"/>
      <c r="AC141" s="75"/>
      <c r="AD141" s="75"/>
      <c r="AE141" s="75"/>
      <c r="AF141" s="75"/>
      <c r="AG141" s="75"/>
      <c r="AH141" s="75"/>
      <c r="AI141" s="75"/>
      <c r="AJ141" s="81"/>
      <c r="AK141" s="75"/>
      <c r="AL141" s="75"/>
    </row>
    <row r="142" spans="1:38" ht="15.75" hidden="1" thickBot="1" x14ac:dyDescent="0.3">
      <c r="A142" s="75"/>
      <c r="B142" s="75"/>
      <c r="C142" s="35">
        <f>INDEX(Données!$F$2:$L$54,MATCH(F142,Données!$F$2:$F$54,0),2)</f>
        <v>43983</v>
      </c>
      <c r="D142" s="29" t="str">
        <f t="shared" si="4"/>
        <v>#6</v>
      </c>
      <c r="E142" s="7">
        <f>Données!I24</f>
        <v>43985</v>
      </c>
      <c r="F142" s="6" t="str">
        <f>INDEX(Données!$F$2:$L$54,MATCH('#6'!E142,Données!$G$2:$G$54,1),1)</f>
        <v>23</v>
      </c>
      <c r="G142" s="18" t="str">
        <f t="shared" si="5"/>
        <v>S.O.</v>
      </c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1"/>
      <c r="W142" s="75"/>
      <c r="X142" s="75"/>
      <c r="Y142" s="75"/>
      <c r="Z142" s="96">
        <f>SUM(Tableau17[[#This Row],[A-1]:[G-5]])</f>
        <v>0</v>
      </c>
      <c r="AA142" s="96" t="str">
        <f>IF(AND(Z142&gt;0,Tableau17[[#This Row],[CDS]]=""),"Oui","Non")</f>
        <v>Non</v>
      </c>
      <c r="AB142" s="75"/>
      <c r="AC142" s="75"/>
      <c r="AD142" s="75"/>
      <c r="AE142" s="75"/>
      <c r="AF142" s="75"/>
      <c r="AG142" s="75"/>
      <c r="AH142" s="75"/>
      <c r="AI142" s="75"/>
      <c r="AJ142" s="81"/>
      <c r="AK142" s="75"/>
      <c r="AL142" s="75"/>
    </row>
    <row r="143" spans="1:38" ht="15.75" hidden="1" thickBot="1" x14ac:dyDescent="0.3">
      <c r="A143" s="75"/>
      <c r="B143" s="75"/>
      <c r="C143" s="35">
        <f>INDEX(Données!$F$2:$L$54,MATCH(F143,Données!$F$2:$F$54,0),2)</f>
        <v>43983</v>
      </c>
      <c r="D143" s="29" t="str">
        <f t="shared" si="4"/>
        <v>#6</v>
      </c>
      <c r="E143" s="7">
        <f>Données!J24</f>
        <v>43986</v>
      </c>
      <c r="F143" s="6" t="str">
        <f>INDEX(Données!$F$2:$L$54,MATCH('#6'!E143,Données!$G$2:$G$54,1),1)</f>
        <v>23</v>
      </c>
      <c r="G143" s="18" t="str">
        <f t="shared" si="5"/>
        <v>S.O.</v>
      </c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1"/>
      <c r="W143" s="75"/>
      <c r="X143" s="75"/>
      <c r="Y143" s="75"/>
      <c r="Z143" s="96">
        <f>SUM(Tableau17[[#This Row],[A-1]:[G-5]])</f>
        <v>0</v>
      </c>
      <c r="AA143" s="96" t="str">
        <f>IF(AND(Z143&gt;0,Tableau17[[#This Row],[CDS]]=""),"Oui","Non")</f>
        <v>Non</v>
      </c>
      <c r="AB143" s="75"/>
      <c r="AC143" s="75"/>
      <c r="AD143" s="75"/>
      <c r="AE143" s="75"/>
      <c r="AF143" s="75"/>
      <c r="AG143" s="75"/>
      <c r="AH143" s="75"/>
      <c r="AI143" s="75"/>
      <c r="AJ143" s="81"/>
      <c r="AK143" s="75"/>
      <c r="AL143" s="75"/>
    </row>
    <row r="144" spans="1:38" ht="15.75" hidden="1" thickBot="1" x14ac:dyDescent="0.3">
      <c r="A144" s="75"/>
      <c r="B144" s="75"/>
      <c r="C144" s="35">
        <f>INDEX(Données!$F$2:$L$54,MATCH(F144,Données!$F$2:$F$54,0),2)</f>
        <v>43983</v>
      </c>
      <c r="D144" s="29" t="str">
        <f t="shared" si="4"/>
        <v>#6</v>
      </c>
      <c r="E144" s="7">
        <f>Données!K24</f>
        <v>43987</v>
      </c>
      <c r="F144" s="6" t="str">
        <f>INDEX(Données!$F$2:$L$54,MATCH('#6'!E144,Données!$G$2:$G$54,1),1)</f>
        <v>23</v>
      </c>
      <c r="G144" s="18" t="str">
        <f t="shared" si="5"/>
        <v>S.O.</v>
      </c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1"/>
      <c r="W144" s="75"/>
      <c r="X144" s="75"/>
      <c r="Y144" s="75"/>
      <c r="Z144" s="96">
        <f>SUM(Tableau17[[#This Row],[A-1]:[G-5]])</f>
        <v>0</v>
      </c>
      <c r="AA144" s="96" t="str">
        <f>IF(AND(Z144&gt;0,Tableau17[[#This Row],[CDS]]=""),"Oui","Non")</f>
        <v>Non</v>
      </c>
      <c r="AB144" s="75"/>
      <c r="AC144" s="75"/>
      <c r="AD144" s="75"/>
      <c r="AE144" s="75"/>
      <c r="AF144" s="75"/>
      <c r="AG144" s="75"/>
      <c r="AH144" s="75"/>
      <c r="AI144" s="75"/>
      <c r="AJ144" s="81"/>
      <c r="AK144" s="75"/>
      <c r="AL144" s="75"/>
    </row>
    <row r="145" spans="1:38" ht="15.75" hidden="1" thickBot="1" x14ac:dyDescent="0.3">
      <c r="A145" s="75"/>
      <c r="B145" s="75"/>
      <c r="C145" s="35">
        <f>INDEX(Données!$F$2:$L$54,MATCH(F145,Données!$F$2:$F$54,0),2)</f>
        <v>43983</v>
      </c>
      <c r="D145" s="29" t="str">
        <f t="shared" si="4"/>
        <v>#6</v>
      </c>
      <c r="E145" s="7">
        <f>Données!L24</f>
        <v>43988</v>
      </c>
      <c r="F145" s="6" t="str">
        <f>INDEX(Données!$F$2:$L$54,MATCH('#6'!E145,Données!$G$2:$G$54,1),1)</f>
        <v>23</v>
      </c>
      <c r="G145" s="18" t="str">
        <f t="shared" si="5"/>
        <v>S.O.</v>
      </c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1"/>
      <c r="W145" s="75"/>
      <c r="X145" s="75"/>
      <c r="Y145" s="75"/>
      <c r="Z145" s="96">
        <f>SUM(Tableau17[[#This Row],[A-1]:[G-5]])</f>
        <v>0</v>
      </c>
      <c r="AA145" s="96" t="str">
        <f>IF(AND(Z145&gt;0,Tableau17[[#This Row],[CDS]]=""),"Oui","Non")</f>
        <v>Non</v>
      </c>
      <c r="AB145" s="75"/>
      <c r="AC145" s="75"/>
      <c r="AD145" s="75"/>
      <c r="AE145" s="75"/>
      <c r="AF145" s="75"/>
      <c r="AG145" s="75"/>
      <c r="AH145" s="75"/>
      <c r="AI145" s="75"/>
      <c r="AJ145" s="81"/>
      <c r="AK145" s="75"/>
      <c r="AL145" s="75"/>
    </row>
    <row r="146" spans="1:38" ht="15.75" hidden="1" thickBot="1" x14ac:dyDescent="0.3">
      <c r="A146" s="75"/>
      <c r="B146" s="75"/>
      <c r="C146" s="35">
        <f>INDEX(Données!$F$2:$L$54,MATCH(F146,Données!$F$2:$F$54,0),2)</f>
        <v>43990</v>
      </c>
      <c r="D146" s="29" t="str">
        <f t="shared" si="4"/>
        <v>#6</v>
      </c>
      <c r="E146" s="7">
        <f>Données!G25</f>
        <v>43990</v>
      </c>
      <c r="F146" s="6" t="str">
        <f>INDEX(Données!$F$2:$L$54,MATCH('#6'!E146,Données!$G$2:$G$54,1),1)</f>
        <v>24</v>
      </c>
      <c r="G146" s="18" t="str">
        <f t="shared" si="5"/>
        <v>S.O.</v>
      </c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1"/>
      <c r="W146" s="75"/>
      <c r="X146" s="75"/>
      <c r="Y146" s="75"/>
      <c r="Z146" s="96">
        <f>SUM(Tableau17[[#This Row],[A-1]:[G-5]])</f>
        <v>0</v>
      </c>
      <c r="AA146" s="96" t="str">
        <f>IF(AND(Z146&gt;0,Tableau17[[#This Row],[CDS]]=""),"Oui","Non")</f>
        <v>Non</v>
      </c>
      <c r="AB146" s="75"/>
      <c r="AC146" s="75"/>
      <c r="AD146" s="75"/>
      <c r="AE146" s="75"/>
      <c r="AF146" s="75"/>
      <c r="AG146" s="75"/>
      <c r="AH146" s="75"/>
      <c r="AI146" s="75"/>
      <c r="AJ146" s="81"/>
      <c r="AK146" s="75"/>
      <c r="AL146" s="75"/>
    </row>
    <row r="147" spans="1:38" ht="15.75" hidden="1" thickBot="1" x14ac:dyDescent="0.3">
      <c r="A147" s="75"/>
      <c r="B147" s="75"/>
      <c r="C147" s="35">
        <f>INDEX(Données!$F$2:$L$54,MATCH(F147,Données!$F$2:$F$54,0),2)</f>
        <v>43990</v>
      </c>
      <c r="D147" s="29" t="str">
        <f t="shared" si="4"/>
        <v>#6</v>
      </c>
      <c r="E147" s="7">
        <f>Données!H25</f>
        <v>43991</v>
      </c>
      <c r="F147" s="6" t="str">
        <f>INDEX(Données!$F$2:$L$54,MATCH('#6'!E147,Données!$G$2:$G$54,1),1)</f>
        <v>24</v>
      </c>
      <c r="G147" s="18" t="str">
        <f t="shared" si="5"/>
        <v>S.O.</v>
      </c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1"/>
      <c r="W147" s="75"/>
      <c r="X147" s="75"/>
      <c r="Y147" s="75"/>
      <c r="Z147" s="96">
        <f>SUM(Tableau17[[#This Row],[A-1]:[G-5]])</f>
        <v>0</v>
      </c>
      <c r="AA147" s="96" t="str">
        <f>IF(AND(Z147&gt;0,Tableau17[[#This Row],[CDS]]=""),"Oui","Non")</f>
        <v>Non</v>
      </c>
      <c r="AB147" s="75"/>
      <c r="AC147" s="75"/>
      <c r="AD147" s="75"/>
      <c r="AE147" s="75"/>
      <c r="AF147" s="75"/>
      <c r="AG147" s="75"/>
      <c r="AH147" s="75"/>
      <c r="AI147" s="75"/>
      <c r="AJ147" s="81"/>
      <c r="AK147" s="75"/>
      <c r="AL147" s="75"/>
    </row>
    <row r="148" spans="1:38" ht="15.75" hidden="1" thickBot="1" x14ac:dyDescent="0.3">
      <c r="A148" s="75"/>
      <c r="B148" s="75"/>
      <c r="C148" s="35">
        <f>INDEX(Données!$F$2:$L$54,MATCH(F148,Données!$F$2:$F$54,0),2)</f>
        <v>43990</v>
      </c>
      <c r="D148" s="29" t="str">
        <f t="shared" si="4"/>
        <v>#6</v>
      </c>
      <c r="E148" s="7">
        <f>Données!I25</f>
        <v>43992</v>
      </c>
      <c r="F148" s="6" t="str">
        <f>INDEX(Données!$F$2:$L$54,MATCH('#6'!E148,Données!$G$2:$G$54,1),1)</f>
        <v>24</v>
      </c>
      <c r="G148" s="18" t="str">
        <f t="shared" si="5"/>
        <v>S.O.</v>
      </c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1"/>
      <c r="W148" s="75"/>
      <c r="X148" s="75"/>
      <c r="Y148" s="75"/>
      <c r="Z148" s="96">
        <f>SUM(Tableau17[[#This Row],[A-1]:[G-5]])</f>
        <v>0</v>
      </c>
      <c r="AA148" s="96" t="str">
        <f>IF(AND(Z148&gt;0,Tableau17[[#This Row],[CDS]]=""),"Oui","Non")</f>
        <v>Non</v>
      </c>
      <c r="AB148" s="75"/>
      <c r="AC148" s="75"/>
      <c r="AD148" s="75"/>
      <c r="AE148" s="75"/>
      <c r="AF148" s="75"/>
      <c r="AG148" s="75"/>
      <c r="AH148" s="75"/>
      <c r="AI148" s="75"/>
      <c r="AJ148" s="81"/>
      <c r="AK148" s="75"/>
      <c r="AL148" s="75"/>
    </row>
    <row r="149" spans="1:38" ht="15.75" hidden="1" thickBot="1" x14ac:dyDescent="0.3">
      <c r="A149" s="75"/>
      <c r="B149" s="75"/>
      <c r="C149" s="35">
        <f>INDEX(Données!$F$2:$L$54,MATCH(F149,Données!$F$2:$F$54,0),2)</f>
        <v>43990</v>
      </c>
      <c r="D149" s="29" t="str">
        <f t="shared" si="4"/>
        <v>#6</v>
      </c>
      <c r="E149" s="7">
        <f>Données!J25</f>
        <v>43993</v>
      </c>
      <c r="F149" s="6" t="str">
        <f>INDEX(Données!$F$2:$L$54,MATCH('#6'!E149,Données!$G$2:$G$54,1),1)</f>
        <v>24</v>
      </c>
      <c r="G149" s="18" t="str">
        <f t="shared" si="5"/>
        <v>S.O.</v>
      </c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1"/>
      <c r="W149" s="75"/>
      <c r="X149" s="75"/>
      <c r="Y149" s="75"/>
      <c r="Z149" s="96">
        <f>SUM(Tableau17[[#This Row],[A-1]:[G-5]])</f>
        <v>0</v>
      </c>
      <c r="AA149" s="96" t="str">
        <f>IF(AND(Z149&gt;0,Tableau17[[#This Row],[CDS]]=""),"Oui","Non")</f>
        <v>Non</v>
      </c>
      <c r="AB149" s="75"/>
      <c r="AC149" s="75"/>
      <c r="AD149" s="75"/>
      <c r="AE149" s="75"/>
      <c r="AF149" s="75"/>
      <c r="AG149" s="75"/>
      <c r="AH149" s="75"/>
      <c r="AI149" s="75"/>
      <c r="AJ149" s="81"/>
      <c r="AK149" s="75"/>
      <c r="AL149" s="75"/>
    </row>
    <row r="150" spans="1:38" ht="15.75" hidden="1" thickBot="1" x14ac:dyDescent="0.3">
      <c r="A150" s="75"/>
      <c r="B150" s="75"/>
      <c r="C150" s="35">
        <f>INDEX(Données!$F$2:$L$54,MATCH(F150,Données!$F$2:$F$54,0),2)</f>
        <v>43990</v>
      </c>
      <c r="D150" s="29" t="str">
        <f t="shared" si="4"/>
        <v>#6</v>
      </c>
      <c r="E150" s="7">
        <f>Données!K25</f>
        <v>43994</v>
      </c>
      <c r="F150" s="6" t="str">
        <f>INDEX(Données!$F$2:$L$54,MATCH('#6'!E150,Données!$G$2:$G$54,1),1)</f>
        <v>24</v>
      </c>
      <c r="G150" s="18" t="str">
        <f t="shared" si="5"/>
        <v>S.O.</v>
      </c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1"/>
      <c r="W150" s="75"/>
      <c r="X150" s="75"/>
      <c r="Y150" s="75"/>
      <c r="Z150" s="96">
        <f>SUM(Tableau17[[#This Row],[A-1]:[G-5]])</f>
        <v>0</v>
      </c>
      <c r="AA150" s="96" t="str">
        <f>IF(AND(Z150&gt;0,Tableau17[[#This Row],[CDS]]=""),"Oui","Non")</f>
        <v>Non</v>
      </c>
      <c r="AB150" s="75"/>
      <c r="AC150" s="75"/>
      <c r="AD150" s="75"/>
      <c r="AE150" s="75"/>
      <c r="AF150" s="75"/>
      <c r="AG150" s="75"/>
      <c r="AH150" s="75"/>
      <c r="AI150" s="75"/>
      <c r="AJ150" s="81"/>
      <c r="AK150" s="75"/>
      <c r="AL150" s="75"/>
    </row>
    <row r="151" spans="1:38" ht="15.75" hidden="1" thickBot="1" x14ac:dyDescent="0.3">
      <c r="A151" s="75"/>
      <c r="B151" s="75"/>
      <c r="C151" s="35">
        <f>INDEX(Données!$F$2:$L$54,MATCH(F151,Données!$F$2:$F$54,0),2)</f>
        <v>43990</v>
      </c>
      <c r="D151" s="29" t="str">
        <f t="shared" si="4"/>
        <v>#6</v>
      </c>
      <c r="E151" s="7">
        <f>Données!L25</f>
        <v>43995</v>
      </c>
      <c r="F151" s="6" t="str">
        <f>INDEX(Données!$F$2:$L$54,MATCH('#6'!E151,Données!$G$2:$G$54,1),1)</f>
        <v>24</v>
      </c>
      <c r="G151" s="18" t="str">
        <f t="shared" si="5"/>
        <v>S.O.</v>
      </c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1"/>
      <c r="W151" s="75"/>
      <c r="X151" s="75"/>
      <c r="Y151" s="75"/>
      <c r="Z151" s="96">
        <f>SUM(Tableau17[[#This Row],[A-1]:[G-5]])</f>
        <v>0</v>
      </c>
      <c r="AA151" s="96" t="str">
        <f>IF(AND(Z151&gt;0,Tableau17[[#This Row],[CDS]]=""),"Oui","Non")</f>
        <v>Non</v>
      </c>
      <c r="AB151" s="75"/>
      <c r="AC151" s="75"/>
      <c r="AD151" s="75"/>
      <c r="AE151" s="75"/>
      <c r="AF151" s="75"/>
      <c r="AG151" s="75"/>
      <c r="AH151" s="75"/>
      <c r="AI151" s="75"/>
      <c r="AJ151" s="81"/>
      <c r="AK151" s="75"/>
      <c r="AL151" s="75"/>
    </row>
    <row r="152" spans="1:38" ht="15.75" hidden="1" thickBot="1" x14ac:dyDescent="0.3">
      <c r="A152" s="75"/>
      <c r="B152" s="75"/>
      <c r="C152" s="35">
        <f>INDEX(Données!$F$2:$L$54,MATCH(F152,Données!$F$2:$F$54,0),2)</f>
        <v>43997</v>
      </c>
      <c r="D152" s="29" t="str">
        <f t="shared" si="4"/>
        <v>#6</v>
      </c>
      <c r="E152" s="7">
        <f>Données!G26</f>
        <v>43997</v>
      </c>
      <c r="F152" s="6" t="str">
        <f>INDEX(Données!$F$2:$L$54,MATCH('#6'!E152,Données!$G$2:$G$54,1),1)</f>
        <v>25</v>
      </c>
      <c r="G152" s="18" t="str">
        <f t="shared" si="5"/>
        <v>S.O.</v>
      </c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1"/>
      <c r="W152" s="75"/>
      <c r="X152" s="75"/>
      <c r="Y152" s="75"/>
      <c r="Z152" s="96">
        <f>SUM(Tableau17[[#This Row],[A-1]:[G-5]])</f>
        <v>0</v>
      </c>
      <c r="AA152" s="96" t="str">
        <f>IF(AND(Z152&gt;0,Tableau17[[#This Row],[CDS]]=""),"Oui","Non")</f>
        <v>Non</v>
      </c>
      <c r="AB152" s="75"/>
      <c r="AC152" s="75"/>
      <c r="AD152" s="75"/>
      <c r="AE152" s="75"/>
      <c r="AF152" s="75"/>
      <c r="AG152" s="75"/>
      <c r="AH152" s="75"/>
      <c r="AI152" s="75"/>
      <c r="AJ152" s="81"/>
      <c r="AK152" s="75"/>
      <c r="AL152" s="75"/>
    </row>
    <row r="153" spans="1:38" ht="15.75" hidden="1" thickBot="1" x14ac:dyDescent="0.3">
      <c r="A153" s="75"/>
      <c r="B153" s="75"/>
      <c r="C153" s="35">
        <f>INDEX(Données!$F$2:$L$54,MATCH(F153,Données!$F$2:$F$54,0),2)</f>
        <v>43997</v>
      </c>
      <c r="D153" s="29" t="str">
        <f t="shared" si="4"/>
        <v>#6</v>
      </c>
      <c r="E153" s="7">
        <f>Données!H26</f>
        <v>43998</v>
      </c>
      <c r="F153" s="6" t="str">
        <f>INDEX(Données!$F$2:$L$54,MATCH('#6'!E153,Données!$G$2:$G$54,1),1)</f>
        <v>25</v>
      </c>
      <c r="G153" s="18" t="str">
        <f t="shared" si="5"/>
        <v>S.O.</v>
      </c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1"/>
      <c r="W153" s="75"/>
      <c r="X153" s="75"/>
      <c r="Y153" s="75"/>
      <c r="Z153" s="96">
        <f>SUM(Tableau17[[#This Row],[A-1]:[G-5]])</f>
        <v>0</v>
      </c>
      <c r="AA153" s="96" t="str">
        <f>IF(AND(Z153&gt;0,Tableau17[[#This Row],[CDS]]=""),"Oui","Non")</f>
        <v>Non</v>
      </c>
      <c r="AB153" s="75"/>
      <c r="AC153" s="75"/>
      <c r="AD153" s="75"/>
      <c r="AE153" s="75"/>
      <c r="AF153" s="75"/>
      <c r="AG153" s="75"/>
      <c r="AH153" s="75"/>
      <c r="AI153" s="75"/>
      <c r="AJ153" s="81"/>
      <c r="AK153" s="75"/>
      <c r="AL153" s="75"/>
    </row>
    <row r="154" spans="1:38" ht="15.75" hidden="1" thickBot="1" x14ac:dyDescent="0.3">
      <c r="A154" s="75"/>
      <c r="B154" s="75"/>
      <c r="C154" s="35">
        <f>INDEX(Données!$F$2:$L$54,MATCH(F154,Données!$F$2:$F$54,0),2)</f>
        <v>43997</v>
      </c>
      <c r="D154" s="29" t="str">
        <f t="shared" si="4"/>
        <v>#6</v>
      </c>
      <c r="E154" s="7">
        <f>Données!I26</f>
        <v>43999</v>
      </c>
      <c r="F154" s="6" t="str">
        <f>INDEX(Données!$F$2:$L$54,MATCH('#6'!E154,Données!$G$2:$G$54,1),1)</f>
        <v>25</v>
      </c>
      <c r="G154" s="18" t="str">
        <f t="shared" si="5"/>
        <v>S.O.</v>
      </c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1"/>
      <c r="W154" s="75"/>
      <c r="X154" s="75"/>
      <c r="Y154" s="75"/>
      <c r="Z154" s="96">
        <f>SUM(Tableau17[[#This Row],[A-1]:[G-5]])</f>
        <v>0</v>
      </c>
      <c r="AA154" s="96" t="str">
        <f>IF(AND(Z154&gt;0,Tableau17[[#This Row],[CDS]]=""),"Oui","Non")</f>
        <v>Non</v>
      </c>
      <c r="AB154" s="75"/>
      <c r="AC154" s="75"/>
      <c r="AD154" s="75"/>
      <c r="AE154" s="75"/>
      <c r="AF154" s="75"/>
      <c r="AG154" s="75"/>
      <c r="AH154" s="75"/>
      <c r="AI154" s="75"/>
      <c r="AJ154" s="81"/>
      <c r="AK154" s="75"/>
      <c r="AL154" s="75"/>
    </row>
    <row r="155" spans="1:38" ht="15.75" hidden="1" thickBot="1" x14ac:dyDescent="0.3">
      <c r="A155" s="75"/>
      <c r="B155" s="75"/>
      <c r="C155" s="35">
        <f>INDEX(Données!$F$2:$L$54,MATCH(F155,Données!$F$2:$F$54,0),2)</f>
        <v>43997</v>
      </c>
      <c r="D155" s="29" t="str">
        <f t="shared" si="4"/>
        <v>#6</v>
      </c>
      <c r="E155" s="7">
        <f>Données!J26</f>
        <v>44000</v>
      </c>
      <c r="F155" s="6" t="str">
        <f>INDEX(Données!$F$2:$L$54,MATCH('#6'!E155,Données!$G$2:$G$54,1),1)</f>
        <v>25</v>
      </c>
      <c r="G155" s="18" t="str">
        <f t="shared" si="5"/>
        <v>S.O.</v>
      </c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1"/>
      <c r="W155" s="75"/>
      <c r="X155" s="75"/>
      <c r="Y155" s="75"/>
      <c r="Z155" s="96">
        <f>SUM(Tableau17[[#This Row],[A-1]:[G-5]])</f>
        <v>0</v>
      </c>
      <c r="AA155" s="96" t="str">
        <f>IF(AND(Z155&gt;0,Tableau17[[#This Row],[CDS]]=""),"Oui","Non")</f>
        <v>Non</v>
      </c>
      <c r="AB155" s="75"/>
      <c r="AC155" s="75"/>
      <c r="AD155" s="75"/>
      <c r="AE155" s="75"/>
      <c r="AF155" s="75"/>
      <c r="AG155" s="75"/>
      <c r="AH155" s="75"/>
      <c r="AI155" s="75"/>
      <c r="AJ155" s="81"/>
      <c r="AK155" s="75"/>
      <c r="AL155" s="75"/>
    </row>
    <row r="156" spans="1:38" ht="15.75" hidden="1" thickBot="1" x14ac:dyDescent="0.3">
      <c r="A156" s="75"/>
      <c r="B156" s="75"/>
      <c r="C156" s="35">
        <f>INDEX(Données!$F$2:$L$54,MATCH(F156,Données!$F$2:$F$54,0),2)</f>
        <v>43997</v>
      </c>
      <c r="D156" s="29" t="str">
        <f t="shared" si="4"/>
        <v>#6</v>
      </c>
      <c r="E156" s="7">
        <f>Données!K26</f>
        <v>44001</v>
      </c>
      <c r="F156" s="6" t="str">
        <f>INDEX(Données!$F$2:$L$54,MATCH('#6'!E156,Données!$G$2:$G$54,1),1)</f>
        <v>25</v>
      </c>
      <c r="G156" s="18" t="str">
        <f t="shared" si="5"/>
        <v>S.O.</v>
      </c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1"/>
      <c r="W156" s="75"/>
      <c r="X156" s="75"/>
      <c r="Y156" s="75"/>
      <c r="Z156" s="96">
        <f>SUM(Tableau17[[#This Row],[A-1]:[G-5]])</f>
        <v>0</v>
      </c>
      <c r="AA156" s="96" t="str">
        <f>IF(AND(Z156&gt;0,Tableau17[[#This Row],[CDS]]=""),"Oui","Non")</f>
        <v>Non</v>
      </c>
      <c r="AB156" s="75"/>
      <c r="AC156" s="75"/>
      <c r="AD156" s="75"/>
      <c r="AE156" s="75"/>
      <c r="AF156" s="75"/>
      <c r="AG156" s="75"/>
      <c r="AH156" s="75"/>
      <c r="AI156" s="75"/>
      <c r="AJ156" s="81"/>
      <c r="AK156" s="75"/>
      <c r="AL156" s="75"/>
    </row>
    <row r="157" spans="1:38" ht="15.75" hidden="1" thickBot="1" x14ac:dyDescent="0.3">
      <c r="A157" s="75"/>
      <c r="B157" s="75"/>
      <c r="C157" s="35">
        <f>INDEX(Données!$F$2:$L$54,MATCH(F157,Données!$F$2:$F$54,0),2)</f>
        <v>43997</v>
      </c>
      <c r="D157" s="29" t="str">
        <f t="shared" si="4"/>
        <v>#6</v>
      </c>
      <c r="E157" s="7">
        <f>Données!L26</f>
        <v>44002</v>
      </c>
      <c r="F157" s="6" t="str">
        <f>INDEX(Données!$F$2:$L$54,MATCH('#6'!E157,Données!$G$2:$G$54,1),1)</f>
        <v>25</v>
      </c>
      <c r="G157" s="18" t="str">
        <f t="shared" si="5"/>
        <v>S.O.</v>
      </c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1"/>
      <c r="W157" s="75"/>
      <c r="X157" s="75"/>
      <c r="Y157" s="75"/>
      <c r="Z157" s="96">
        <f>SUM(Tableau17[[#This Row],[A-1]:[G-5]])</f>
        <v>0</v>
      </c>
      <c r="AA157" s="96" t="str">
        <f>IF(AND(Z157&gt;0,Tableau17[[#This Row],[CDS]]=""),"Oui","Non")</f>
        <v>Non</v>
      </c>
      <c r="AB157" s="75"/>
      <c r="AC157" s="75"/>
      <c r="AD157" s="75"/>
      <c r="AE157" s="75"/>
      <c r="AF157" s="75"/>
      <c r="AG157" s="75"/>
      <c r="AH157" s="75"/>
      <c r="AI157" s="75"/>
      <c r="AJ157" s="81"/>
      <c r="AK157" s="75"/>
      <c r="AL157" s="75"/>
    </row>
    <row r="158" spans="1:38" ht="15.75" hidden="1" thickBot="1" x14ac:dyDescent="0.3">
      <c r="A158" s="75"/>
      <c r="B158" s="75"/>
      <c r="C158" s="35">
        <f>INDEX(Données!$F$2:$L$54,MATCH(F158,Données!$F$2:$F$54,0),2)</f>
        <v>44004</v>
      </c>
      <c r="D158" s="29" t="str">
        <f t="shared" si="4"/>
        <v>#6</v>
      </c>
      <c r="E158" s="7">
        <f>Données!G27</f>
        <v>44004</v>
      </c>
      <c r="F158" s="6" t="str">
        <f>INDEX(Données!$F$2:$L$54,MATCH('#6'!E158,Données!$G$2:$G$54,1),1)</f>
        <v>26</v>
      </c>
      <c r="G158" s="18" t="str">
        <f t="shared" si="5"/>
        <v>S.O.</v>
      </c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1"/>
      <c r="W158" s="75"/>
      <c r="X158" s="75"/>
      <c r="Y158" s="75"/>
      <c r="Z158" s="96">
        <f>SUM(Tableau17[[#This Row],[A-1]:[G-5]])</f>
        <v>0</v>
      </c>
      <c r="AA158" s="96" t="str">
        <f>IF(AND(Z158&gt;0,Tableau17[[#This Row],[CDS]]=""),"Oui","Non")</f>
        <v>Non</v>
      </c>
      <c r="AB158" s="75"/>
      <c r="AC158" s="75"/>
      <c r="AD158" s="75"/>
      <c r="AE158" s="75"/>
      <c r="AF158" s="75"/>
      <c r="AG158" s="75"/>
      <c r="AH158" s="75"/>
      <c r="AI158" s="75"/>
      <c r="AJ158" s="81"/>
      <c r="AK158" s="75"/>
      <c r="AL158" s="75"/>
    </row>
    <row r="159" spans="1:38" ht="15.75" hidden="1" thickBot="1" x14ac:dyDescent="0.3">
      <c r="A159" s="75"/>
      <c r="B159" s="75"/>
      <c r="C159" s="35">
        <f>INDEX(Données!$F$2:$L$54,MATCH(F159,Données!$F$2:$F$54,0),2)</f>
        <v>44004</v>
      </c>
      <c r="D159" s="29" t="str">
        <f t="shared" si="4"/>
        <v>#6</v>
      </c>
      <c r="E159" s="7">
        <f>Données!H27</f>
        <v>44005</v>
      </c>
      <c r="F159" s="6" t="str">
        <f>INDEX(Données!$F$2:$L$54,MATCH('#6'!E159,Données!$G$2:$G$54,1),1)</f>
        <v>26</v>
      </c>
      <c r="G159" s="18" t="str">
        <f t="shared" si="5"/>
        <v>S.O.</v>
      </c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1"/>
      <c r="W159" s="75"/>
      <c r="X159" s="75"/>
      <c r="Y159" s="75"/>
      <c r="Z159" s="96">
        <f>SUM(Tableau17[[#This Row],[A-1]:[G-5]])</f>
        <v>0</v>
      </c>
      <c r="AA159" s="96" t="str">
        <f>IF(AND(Z159&gt;0,Tableau17[[#This Row],[CDS]]=""),"Oui","Non")</f>
        <v>Non</v>
      </c>
      <c r="AB159" s="75"/>
      <c r="AC159" s="75"/>
      <c r="AD159" s="75"/>
      <c r="AE159" s="75"/>
      <c r="AF159" s="75"/>
      <c r="AG159" s="75"/>
      <c r="AH159" s="75"/>
      <c r="AI159" s="75"/>
      <c r="AJ159" s="81"/>
      <c r="AK159" s="75"/>
      <c r="AL159" s="75"/>
    </row>
    <row r="160" spans="1:38" ht="15.75" hidden="1" thickBot="1" x14ac:dyDescent="0.3">
      <c r="A160" s="75"/>
      <c r="B160" s="75"/>
      <c r="C160" s="35">
        <f>INDEX(Données!$F$2:$L$54,MATCH(F160,Données!$F$2:$F$54,0),2)</f>
        <v>44004</v>
      </c>
      <c r="D160" s="29" t="str">
        <f t="shared" si="4"/>
        <v>#6</v>
      </c>
      <c r="E160" s="7">
        <f>Données!I27</f>
        <v>44006</v>
      </c>
      <c r="F160" s="6" t="str">
        <f>INDEX(Données!$F$2:$L$54,MATCH('#6'!E160,Données!$G$2:$G$54,1),1)</f>
        <v>26</v>
      </c>
      <c r="G160" s="18" t="str">
        <f t="shared" si="5"/>
        <v>S.O.</v>
      </c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1"/>
      <c r="W160" s="75"/>
      <c r="X160" s="75"/>
      <c r="Y160" s="75"/>
      <c r="Z160" s="96">
        <f>SUM(Tableau17[[#This Row],[A-1]:[G-5]])</f>
        <v>0</v>
      </c>
      <c r="AA160" s="96" t="str">
        <f>IF(AND(Z160&gt;0,Tableau17[[#This Row],[CDS]]=""),"Oui","Non")</f>
        <v>Non</v>
      </c>
      <c r="AB160" s="75"/>
      <c r="AC160" s="75"/>
      <c r="AD160" s="75"/>
      <c r="AE160" s="75"/>
      <c r="AF160" s="75"/>
      <c r="AG160" s="75"/>
      <c r="AH160" s="75"/>
      <c r="AI160" s="75"/>
      <c r="AJ160" s="81"/>
      <c r="AK160" s="75"/>
      <c r="AL160" s="75"/>
    </row>
    <row r="161" spans="1:38" ht="15.75" hidden="1" thickBot="1" x14ac:dyDescent="0.3">
      <c r="A161" s="75"/>
      <c r="B161" s="75"/>
      <c r="C161" s="35">
        <f>INDEX(Données!$F$2:$L$54,MATCH(F161,Données!$F$2:$F$54,0),2)</f>
        <v>44004</v>
      </c>
      <c r="D161" s="29" t="str">
        <f t="shared" si="4"/>
        <v>#6</v>
      </c>
      <c r="E161" s="7">
        <f>Données!J27</f>
        <v>44007</v>
      </c>
      <c r="F161" s="6" t="str">
        <f>INDEX(Données!$F$2:$L$54,MATCH('#6'!E161,Données!$G$2:$G$54,1),1)</f>
        <v>26</v>
      </c>
      <c r="G161" s="18" t="str">
        <f t="shared" si="5"/>
        <v>S.O.</v>
      </c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1"/>
      <c r="W161" s="75"/>
      <c r="X161" s="75"/>
      <c r="Y161" s="75"/>
      <c r="Z161" s="96">
        <f>SUM(Tableau17[[#This Row],[A-1]:[G-5]])</f>
        <v>0</v>
      </c>
      <c r="AA161" s="96" t="str">
        <f>IF(AND(Z161&gt;0,Tableau17[[#This Row],[CDS]]=""),"Oui","Non")</f>
        <v>Non</v>
      </c>
      <c r="AB161" s="75"/>
      <c r="AC161" s="75"/>
      <c r="AD161" s="75"/>
      <c r="AE161" s="75"/>
      <c r="AF161" s="75"/>
      <c r="AG161" s="75"/>
      <c r="AH161" s="75"/>
      <c r="AI161" s="75"/>
      <c r="AJ161" s="81"/>
      <c r="AK161" s="75"/>
      <c r="AL161" s="75"/>
    </row>
    <row r="162" spans="1:38" ht="15.75" hidden="1" thickBot="1" x14ac:dyDescent="0.3">
      <c r="A162" s="75"/>
      <c r="B162" s="75"/>
      <c r="C162" s="35">
        <f>INDEX(Données!$F$2:$L$54,MATCH(F162,Données!$F$2:$F$54,0),2)</f>
        <v>44004</v>
      </c>
      <c r="D162" s="29" t="str">
        <f t="shared" si="4"/>
        <v>#6</v>
      </c>
      <c r="E162" s="7">
        <f>Données!K27</f>
        <v>44008</v>
      </c>
      <c r="F162" s="6" t="str">
        <f>INDEX(Données!$F$2:$L$54,MATCH('#6'!E162,Données!$G$2:$G$54,1),1)</f>
        <v>26</v>
      </c>
      <c r="G162" s="18" t="str">
        <f t="shared" si="5"/>
        <v>S.O.</v>
      </c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1"/>
      <c r="W162" s="75"/>
      <c r="X162" s="75"/>
      <c r="Y162" s="75"/>
      <c r="Z162" s="96">
        <f>SUM(Tableau17[[#This Row],[A-1]:[G-5]])</f>
        <v>0</v>
      </c>
      <c r="AA162" s="96" t="str">
        <f>IF(AND(Z162&gt;0,Tableau17[[#This Row],[CDS]]=""),"Oui","Non")</f>
        <v>Non</v>
      </c>
      <c r="AB162" s="75"/>
      <c r="AC162" s="75"/>
      <c r="AD162" s="75"/>
      <c r="AE162" s="75"/>
      <c r="AF162" s="75"/>
      <c r="AG162" s="75"/>
      <c r="AH162" s="75"/>
      <c r="AI162" s="75"/>
      <c r="AJ162" s="81"/>
      <c r="AK162" s="75"/>
      <c r="AL162" s="75"/>
    </row>
    <row r="163" spans="1:38" ht="15.75" hidden="1" thickBot="1" x14ac:dyDescent="0.3">
      <c r="A163" s="75"/>
      <c r="B163" s="75"/>
      <c r="C163" s="35">
        <f>INDEX(Données!$F$2:$L$54,MATCH(F163,Données!$F$2:$F$54,0),2)</f>
        <v>44004</v>
      </c>
      <c r="D163" s="29" t="str">
        <f t="shared" si="4"/>
        <v>#6</v>
      </c>
      <c r="E163" s="7">
        <f>Données!L27</f>
        <v>44009</v>
      </c>
      <c r="F163" s="6" t="str">
        <f>INDEX(Données!$F$2:$L$54,MATCH('#6'!E163,Données!$G$2:$G$54,1),1)</f>
        <v>26</v>
      </c>
      <c r="G163" s="18" t="str">
        <f t="shared" si="5"/>
        <v>S.O.</v>
      </c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1"/>
      <c r="W163" s="75"/>
      <c r="X163" s="75"/>
      <c r="Y163" s="75"/>
      <c r="Z163" s="96">
        <f>SUM(Tableau17[[#This Row],[A-1]:[G-5]])</f>
        <v>0</v>
      </c>
      <c r="AA163" s="96" t="str">
        <f>IF(AND(Z163&gt;0,Tableau17[[#This Row],[CDS]]=""),"Oui","Non")</f>
        <v>Non</v>
      </c>
      <c r="AB163" s="75"/>
      <c r="AC163" s="75"/>
      <c r="AD163" s="75"/>
      <c r="AE163" s="75"/>
      <c r="AF163" s="75"/>
      <c r="AG163" s="75"/>
      <c r="AH163" s="75"/>
      <c r="AI163" s="75"/>
      <c r="AJ163" s="81"/>
      <c r="AK163" s="75"/>
      <c r="AL163" s="75"/>
    </row>
    <row r="164" spans="1:38" ht="15.75" hidden="1" thickBot="1" x14ac:dyDescent="0.3">
      <c r="A164" s="75"/>
      <c r="B164" s="75"/>
      <c r="C164" s="35">
        <f>INDEX(Données!$F$2:$L$54,MATCH(F164,Données!$F$2:$F$54,0),2)</f>
        <v>44011</v>
      </c>
      <c r="D164" s="29" t="str">
        <f t="shared" si="4"/>
        <v>#6</v>
      </c>
      <c r="E164" s="7">
        <f>Données!G28</f>
        <v>44011</v>
      </c>
      <c r="F164" s="6" t="str">
        <f>INDEX(Données!$F$2:$L$54,MATCH('#6'!E164,Données!$G$2:$G$54,1),1)</f>
        <v>27</v>
      </c>
      <c r="G164" s="18" t="str">
        <f t="shared" si="5"/>
        <v>S.O.</v>
      </c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1"/>
      <c r="W164" s="75"/>
      <c r="X164" s="75"/>
      <c r="Y164" s="75"/>
      <c r="Z164" s="96">
        <f>SUM(Tableau17[[#This Row],[A-1]:[G-5]])</f>
        <v>0</v>
      </c>
      <c r="AA164" s="96" t="str">
        <f>IF(AND(Z164&gt;0,Tableau17[[#This Row],[CDS]]=""),"Oui","Non")</f>
        <v>Non</v>
      </c>
      <c r="AB164" s="75"/>
      <c r="AC164" s="75"/>
      <c r="AD164" s="75"/>
      <c r="AE164" s="75"/>
      <c r="AF164" s="75"/>
      <c r="AG164" s="75"/>
      <c r="AH164" s="75"/>
      <c r="AI164" s="75"/>
      <c r="AJ164" s="81"/>
      <c r="AK164" s="75"/>
      <c r="AL164" s="75"/>
    </row>
    <row r="165" spans="1:38" ht="15.75" hidden="1" thickBot="1" x14ac:dyDescent="0.3">
      <c r="A165" s="75"/>
      <c r="B165" s="75"/>
      <c r="C165" s="35">
        <f>INDEX(Données!$F$2:$L$54,MATCH(F165,Données!$F$2:$F$54,0),2)</f>
        <v>44011</v>
      </c>
      <c r="D165" s="29" t="str">
        <f t="shared" si="4"/>
        <v>#6</v>
      </c>
      <c r="E165" s="7">
        <f>Données!H28</f>
        <v>44012</v>
      </c>
      <c r="F165" s="6" t="str">
        <f>INDEX(Données!$F$2:$L$54,MATCH('#6'!E165,Données!$G$2:$G$54,1),1)</f>
        <v>27</v>
      </c>
      <c r="G165" s="18" t="str">
        <f t="shared" si="5"/>
        <v>S.O.</v>
      </c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1"/>
      <c r="W165" s="75"/>
      <c r="X165" s="75"/>
      <c r="Y165" s="75"/>
      <c r="Z165" s="96">
        <f>SUM(Tableau17[[#This Row],[A-1]:[G-5]])</f>
        <v>0</v>
      </c>
      <c r="AA165" s="96" t="str">
        <f>IF(AND(Z165&gt;0,Tableau17[[#This Row],[CDS]]=""),"Oui","Non")</f>
        <v>Non</v>
      </c>
      <c r="AB165" s="75"/>
      <c r="AC165" s="75"/>
      <c r="AD165" s="75"/>
      <c r="AE165" s="75"/>
      <c r="AF165" s="75"/>
      <c r="AG165" s="75"/>
      <c r="AH165" s="75"/>
      <c r="AI165" s="75"/>
      <c r="AJ165" s="81"/>
      <c r="AK165" s="75"/>
      <c r="AL165" s="75"/>
    </row>
    <row r="166" spans="1:38" ht="15.75" hidden="1" thickBot="1" x14ac:dyDescent="0.3">
      <c r="A166" s="75"/>
      <c r="B166" s="75"/>
      <c r="C166" s="35">
        <f>INDEX(Données!$F$2:$L$54,MATCH(F166,Données!$F$2:$F$54,0),2)</f>
        <v>44011</v>
      </c>
      <c r="D166" s="29" t="str">
        <f t="shared" si="4"/>
        <v>#6</v>
      </c>
      <c r="E166" s="7">
        <f>Données!I28</f>
        <v>44013</v>
      </c>
      <c r="F166" s="6" t="str">
        <f>INDEX(Données!$F$2:$L$54,MATCH('#6'!E166,Données!$G$2:$G$54,1),1)</f>
        <v>27</v>
      </c>
      <c r="G166" s="18" t="str">
        <f t="shared" si="5"/>
        <v>S.O.</v>
      </c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1"/>
      <c r="W166" s="75"/>
      <c r="X166" s="75"/>
      <c r="Y166" s="75"/>
      <c r="Z166" s="96">
        <f>SUM(Tableau17[[#This Row],[A-1]:[G-5]])</f>
        <v>0</v>
      </c>
      <c r="AA166" s="96" t="str">
        <f>IF(AND(Z166&gt;0,Tableau17[[#This Row],[CDS]]=""),"Oui","Non")</f>
        <v>Non</v>
      </c>
      <c r="AB166" s="75"/>
      <c r="AC166" s="75"/>
      <c r="AD166" s="75"/>
      <c r="AE166" s="75"/>
      <c r="AF166" s="75"/>
      <c r="AG166" s="75"/>
      <c r="AH166" s="75"/>
      <c r="AI166" s="75"/>
      <c r="AJ166" s="81"/>
      <c r="AK166" s="75"/>
      <c r="AL166" s="75"/>
    </row>
    <row r="167" spans="1:38" ht="15.75" hidden="1" thickBot="1" x14ac:dyDescent="0.3">
      <c r="A167" s="75"/>
      <c r="B167" s="75"/>
      <c r="C167" s="35">
        <f>INDEX(Données!$F$2:$L$54,MATCH(F167,Données!$F$2:$F$54,0),2)</f>
        <v>44011</v>
      </c>
      <c r="D167" s="29" t="str">
        <f t="shared" si="4"/>
        <v>#6</v>
      </c>
      <c r="E167" s="7">
        <f>Données!J28</f>
        <v>44014</v>
      </c>
      <c r="F167" s="6" t="str">
        <f>INDEX(Données!$F$2:$L$54,MATCH('#6'!E167,Données!$G$2:$G$54,1),1)</f>
        <v>27</v>
      </c>
      <c r="G167" s="18" t="str">
        <f t="shared" si="5"/>
        <v>S.O.</v>
      </c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1"/>
      <c r="W167" s="75"/>
      <c r="X167" s="75"/>
      <c r="Y167" s="75"/>
      <c r="Z167" s="96">
        <f>SUM(Tableau17[[#This Row],[A-1]:[G-5]])</f>
        <v>0</v>
      </c>
      <c r="AA167" s="96" t="str">
        <f>IF(AND(Z167&gt;0,Tableau17[[#This Row],[CDS]]=""),"Oui","Non")</f>
        <v>Non</v>
      </c>
      <c r="AB167" s="75"/>
      <c r="AC167" s="75"/>
      <c r="AD167" s="75"/>
      <c r="AE167" s="75"/>
      <c r="AF167" s="75"/>
      <c r="AG167" s="75"/>
      <c r="AH167" s="75"/>
      <c r="AI167" s="75"/>
      <c r="AJ167" s="81"/>
      <c r="AK167" s="75"/>
      <c r="AL167" s="75"/>
    </row>
    <row r="168" spans="1:38" ht="15.75" hidden="1" thickBot="1" x14ac:dyDescent="0.3">
      <c r="A168" s="75"/>
      <c r="B168" s="75"/>
      <c r="C168" s="35">
        <f>INDEX(Données!$F$2:$L$54,MATCH(F168,Données!$F$2:$F$54,0),2)</f>
        <v>44011</v>
      </c>
      <c r="D168" s="29" t="str">
        <f t="shared" si="4"/>
        <v>#6</v>
      </c>
      <c r="E168" s="7">
        <f>Données!K28</f>
        <v>44015</v>
      </c>
      <c r="F168" s="6" t="str">
        <f>INDEX(Données!$F$2:$L$54,MATCH('#6'!E168,Données!$G$2:$G$54,1),1)</f>
        <v>27</v>
      </c>
      <c r="G168" s="18" t="str">
        <f t="shared" si="5"/>
        <v>S.O.</v>
      </c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1"/>
      <c r="W168" s="75"/>
      <c r="X168" s="75"/>
      <c r="Y168" s="75"/>
      <c r="Z168" s="96">
        <f>SUM(Tableau17[[#This Row],[A-1]:[G-5]])</f>
        <v>0</v>
      </c>
      <c r="AA168" s="96" t="str">
        <f>IF(AND(Z168&gt;0,Tableau17[[#This Row],[CDS]]=""),"Oui","Non")</f>
        <v>Non</v>
      </c>
      <c r="AB168" s="75"/>
      <c r="AC168" s="75"/>
      <c r="AD168" s="75"/>
      <c r="AE168" s="75"/>
      <c r="AF168" s="75"/>
      <c r="AG168" s="75"/>
      <c r="AH168" s="75"/>
      <c r="AI168" s="75"/>
      <c r="AJ168" s="81"/>
      <c r="AK168" s="75"/>
      <c r="AL168" s="75"/>
    </row>
    <row r="169" spans="1:38" ht="15.75" hidden="1" thickBot="1" x14ac:dyDescent="0.3">
      <c r="A169" s="75"/>
      <c r="B169" s="75"/>
      <c r="C169" s="35">
        <f>INDEX(Données!$F$2:$L$54,MATCH(F169,Données!$F$2:$F$54,0),2)</f>
        <v>44011</v>
      </c>
      <c r="D169" s="29" t="str">
        <f t="shared" si="4"/>
        <v>#6</v>
      </c>
      <c r="E169" s="7">
        <f>Données!L28</f>
        <v>44016</v>
      </c>
      <c r="F169" s="6" t="str">
        <f>INDEX(Données!$F$2:$L$54,MATCH('#6'!E169,Données!$G$2:$G$54,1),1)</f>
        <v>27</v>
      </c>
      <c r="G169" s="18" t="str">
        <f t="shared" si="5"/>
        <v>S.O.</v>
      </c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1"/>
      <c r="W169" s="75"/>
      <c r="X169" s="75"/>
      <c r="Y169" s="75"/>
      <c r="Z169" s="96">
        <f>SUM(Tableau17[[#This Row],[A-1]:[G-5]])</f>
        <v>0</v>
      </c>
      <c r="AA169" s="96" t="str">
        <f>IF(AND(Z169&gt;0,Tableau17[[#This Row],[CDS]]=""),"Oui","Non")</f>
        <v>Non</v>
      </c>
      <c r="AB169" s="75"/>
      <c r="AC169" s="75"/>
      <c r="AD169" s="75"/>
      <c r="AE169" s="75"/>
      <c r="AF169" s="75"/>
      <c r="AG169" s="75"/>
      <c r="AH169" s="75"/>
      <c r="AI169" s="75"/>
      <c r="AJ169" s="81"/>
      <c r="AK169" s="75"/>
      <c r="AL169" s="75"/>
    </row>
    <row r="170" spans="1:38" ht="15.75" hidden="1" thickBot="1" x14ac:dyDescent="0.3">
      <c r="A170" s="75"/>
      <c r="B170" s="75"/>
      <c r="C170" s="35">
        <f>INDEX(Données!$F$2:$L$54,MATCH(F170,Données!$F$2:$F$54,0),2)</f>
        <v>44018</v>
      </c>
      <c r="D170" s="29" t="str">
        <f t="shared" si="4"/>
        <v>#6</v>
      </c>
      <c r="E170" s="7">
        <f>Données!G29</f>
        <v>44018</v>
      </c>
      <c r="F170" s="6" t="str">
        <f>INDEX(Données!$F$2:$L$54,MATCH('#6'!E170,Données!$G$2:$G$54,1),1)</f>
        <v>28</v>
      </c>
      <c r="G170" s="18" t="str">
        <f t="shared" si="5"/>
        <v>S.O.</v>
      </c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1"/>
      <c r="W170" s="75"/>
      <c r="X170" s="75"/>
      <c r="Y170" s="75"/>
      <c r="Z170" s="96">
        <f>SUM(Tableau17[[#This Row],[A-1]:[G-5]])</f>
        <v>0</v>
      </c>
      <c r="AA170" s="96" t="str">
        <f>IF(AND(Z170&gt;0,Tableau17[[#This Row],[CDS]]=""),"Oui","Non")</f>
        <v>Non</v>
      </c>
      <c r="AB170" s="75"/>
      <c r="AC170" s="75"/>
      <c r="AD170" s="75"/>
      <c r="AE170" s="75"/>
      <c r="AF170" s="75"/>
      <c r="AG170" s="75"/>
      <c r="AH170" s="75"/>
      <c r="AI170" s="75"/>
      <c r="AJ170" s="81"/>
      <c r="AK170" s="75"/>
      <c r="AL170" s="75"/>
    </row>
    <row r="171" spans="1:38" ht="15.75" hidden="1" thickBot="1" x14ac:dyDescent="0.3">
      <c r="A171" s="75"/>
      <c r="B171" s="75"/>
      <c r="C171" s="35">
        <f>INDEX(Données!$F$2:$L$54,MATCH(F171,Données!$F$2:$F$54,0),2)</f>
        <v>44018</v>
      </c>
      <c r="D171" s="29" t="str">
        <f t="shared" si="4"/>
        <v>#6</v>
      </c>
      <c r="E171" s="7">
        <f>Données!H29</f>
        <v>44019</v>
      </c>
      <c r="F171" s="6" t="str">
        <f>INDEX(Données!$F$2:$L$54,MATCH('#6'!E171,Données!$G$2:$G$54,1),1)</f>
        <v>28</v>
      </c>
      <c r="G171" s="18" t="str">
        <f t="shared" si="5"/>
        <v>S.O.</v>
      </c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1"/>
      <c r="W171" s="75"/>
      <c r="X171" s="75"/>
      <c r="Y171" s="75"/>
      <c r="Z171" s="96">
        <f>SUM(Tableau17[[#This Row],[A-1]:[G-5]])</f>
        <v>0</v>
      </c>
      <c r="AA171" s="96" t="str">
        <f>IF(AND(Z171&gt;0,Tableau17[[#This Row],[CDS]]=""),"Oui","Non")</f>
        <v>Non</v>
      </c>
      <c r="AB171" s="75"/>
      <c r="AC171" s="75"/>
      <c r="AD171" s="75"/>
      <c r="AE171" s="75"/>
      <c r="AF171" s="75"/>
      <c r="AG171" s="75"/>
      <c r="AH171" s="75"/>
      <c r="AI171" s="75"/>
      <c r="AJ171" s="81"/>
      <c r="AK171" s="75"/>
      <c r="AL171" s="75"/>
    </row>
    <row r="172" spans="1:38" ht="15.75" hidden="1" thickBot="1" x14ac:dyDescent="0.3">
      <c r="A172" s="75"/>
      <c r="B172" s="75"/>
      <c r="C172" s="35">
        <f>INDEX(Données!$F$2:$L$54,MATCH(F172,Données!$F$2:$F$54,0),2)</f>
        <v>44018</v>
      </c>
      <c r="D172" s="29" t="str">
        <f t="shared" si="4"/>
        <v>#6</v>
      </c>
      <c r="E172" s="7">
        <f>Données!I29</f>
        <v>44020</v>
      </c>
      <c r="F172" s="6" t="str">
        <f>INDEX(Données!$F$2:$L$54,MATCH('#6'!E172,Données!$G$2:$G$54,1),1)</f>
        <v>28</v>
      </c>
      <c r="G172" s="18" t="str">
        <f t="shared" si="5"/>
        <v>S.O.</v>
      </c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1"/>
      <c r="W172" s="75"/>
      <c r="X172" s="75"/>
      <c r="Y172" s="75"/>
      <c r="Z172" s="96">
        <f>SUM(Tableau17[[#This Row],[A-1]:[G-5]])</f>
        <v>0</v>
      </c>
      <c r="AA172" s="96" t="str">
        <f>IF(AND(Z172&gt;0,Tableau17[[#This Row],[CDS]]=""),"Oui","Non")</f>
        <v>Non</v>
      </c>
      <c r="AB172" s="75"/>
      <c r="AC172" s="75"/>
      <c r="AD172" s="75"/>
      <c r="AE172" s="75"/>
      <c r="AF172" s="75"/>
      <c r="AG172" s="75"/>
      <c r="AH172" s="75"/>
      <c r="AI172" s="75"/>
      <c r="AJ172" s="81"/>
      <c r="AK172" s="75"/>
      <c r="AL172" s="75"/>
    </row>
    <row r="173" spans="1:38" ht="15.75" hidden="1" thickBot="1" x14ac:dyDescent="0.3">
      <c r="A173" s="75"/>
      <c r="B173" s="75"/>
      <c r="C173" s="35">
        <f>INDEX(Données!$F$2:$L$54,MATCH(F173,Données!$F$2:$F$54,0),2)</f>
        <v>44018</v>
      </c>
      <c r="D173" s="29" t="str">
        <f t="shared" si="4"/>
        <v>#6</v>
      </c>
      <c r="E173" s="7">
        <f>Données!J29</f>
        <v>44021</v>
      </c>
      <c r="F173" s="6" t="str">
        <f>INDEX(Données!$F$2:$L$54,MATCH('#6'!E173,Données!$G$2:$G$54,1),1)</f>
        <v>28</v>
      </c>
      <c r="G173" s="18" t="str">
        <f t="shared" si="5"/>
        <v>S.O.</v>
      </c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1"/>
      <c r="W173" s="75"/>
      <c r="X173" s="75"/>
      <c r="Y173" s="75"/>
      <c r="Z173" s="96">
        <f>SUM(Tableau17[[#This Row],[A-1]:[G-5]])</f>
        <v>0</v>
      </c>
      <c r="AA173" s="96" t="str">
        <f>IF(AND(Z173&gt;0,Tableau17[[#This Row],[CDS]]=""),"Oui","Non")</f>
        <v>Non</v>
      </c>
      <c r="AB173" s="75"/>
      <c r="AC173" s="75"/>
      <c r="AD173" s="75"/>
      <c r="AE173" s="75"/>
      <c r="AF173" s="75"/>
      <c r="AG173" s="75"/>
      <c r="AH173" s="75"/>
      <c r="AI173" s="75"/>
      <c r="AJ173" s="81"/>
      <c r="AK173" s="75"/>
      <c r="AL173" s="75"/>
    </row>
    <row r="174" spans="1:38" ht="15.75" hidden="1" thickBot="1" x14ac:dyDescent="0.3">
      <c r="A174" s="75"/>
      <c r="B174" s="75"/>
      <c r="C174" s="35">
        <f>INDEX(Données!$F$2:$L$54,MATCH(F174,Données!$F$2:$F$54,0),2)</f>
        <v>44018</v>
      </c>
      <c r="D174" s="29" t="str">
        <f t="shared" si="4"/>
        <v>#6</v>
      </c>
      <c r="E174" s="7">
        <f>Données!K29</f>
        <v>44022</v>
      </c>
      <c r="F174" s="6" t="str">
        <f>INDEX(Données!$F$2:$L$54,MATCH('#6'!E174,Données!$G$2:$G$54,1),1)</f>
        <v>28</v>
      </c>
      <c r="G174" s="18" t="str">
        <f t="shared" si="5"/>
        <v>S.O.</v>
      </c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1"/>
      <c r="W174" s="75"/>
      <c r="X174" s="75"/>
      <c r="Y174" s="75"/>
      <c r="Z174" s="96">
        <f>SUM(Tableau17[[#This Row],[A-1]:[G-5]])</f>
        <v>0</v>
      </c>
      <c r="AA174" s="96" t="str">
        <f>IF(AND(Z174&gt;0,Tableau17[[#This Row],[CDS]]=""),"Oui","Non")</f>
        <v>Non</v>
      </c>
      <c r="AB174" s="75"/>
      <c r="AC174" s="75"/>
      <c r="AD174" s="75"/>
      <c r="AE174" s="75"/>
      <c r="AF174" s="75"/>
      <c r="AG174" s="75"/>
      <c r="AH174" s="75"/>
      <c r="AI174" s="75"/>
      <c r="AJ174" s="81"/>
      <c r="AK174" s="75"/>
      <c r="AL174" s="75"/>
    </row>
    <row r="175" spans="1:38" ht="15.75" hidden="1" thickBot="1" x14ac:dyDescent="0.3">
      <c r="A175" s="75"/>
      <c r="B175" s="75"/>
      <c r="C175" s="35">
        <f>INDEX(Données!$F$2:$L$54,MATCH(F175,Données!$F$2:$F$54,0),2)</f>
        <v>44018</v>
      </c>
      <c r="D175" s="29" t="str">
        <f t="shared" si="4"/>
        <v>#6</v>
      </c>
      <c r="E175" s="7">
        <f>Données!L29</f>
        <v>44023</v>
      </c>
      <c r="F175" s="6" t="str">
        <f>INDEX(Données!$F$2:$L$54,MATCH('#6'!E175,Données!$G$2:$G$54,1),1)</f>
        <v>28</v>
      </c>
      <c r="G175" s="18" t="str">
        <f t="shared" si="5"/>
        <v>S.O.</v>
      </c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1"/>
      <c r="W175" s="75"/>
      <c r="X175" s="75"/>
      <c r="Y175" s="75"/>
      <c r="Z175" s="96">
        <f>SUM(Tableau17[[#This Row],[A-1]:[G-5]])</f>
        <v>0</v>
      </c>
      <c r="AA175" s="96" t="str">
        <f>IF(AND(Z175&gt;0,Tableau17[[#This Row],[CDS]]=""),"Oui","Non")</f>
        <v>Non</v>
      </c>
      <c r="AB175" s="75"/>
      <c r="AC175" s="75"/>
      <c r="AD175" s="75"/>
      <c r="AE175" s="75"/>
      <c r="AF175" s="75"/>
      <c r="AG175" s="75"/>
      <c r="AH175" s="75"/>
      <c r="AI175" s="75"/>
      <c r="AJ175" s="81"/>
      <c r="AK175" s="75"/>
      <c r="AL175" s="75"/>
    </row>
    <row r="176" spans="1:38" ht="15.75" hidden="1" thickBot="1" x14ac:dyDescent="0.3">
      <c r="A176" s="75"/>
      <c r="B176" s="75"/>
      <c r="C176" s="35">
        <f>INDEX(Données!$F$2:$L$54,MATCH(F176,Données!$F$2:$F$54,0),2)</f>
        <v>44025</v>
      </c>
      <c r="D176" s="29" t="str">
        <f t="shared" si="4"/>
        <v>#6</v>
      </c>
      <c r="E176" s="7">
        <f>Données!G30</f>
        <v>44025</v>
      </c>
      <c r="F176" s="6" t="str">
        <f>INDEX(Données!$F$2:$L$54,MATCH('#6'!E176,Données!$G$2:$G$54,1),1)</f>
        <v>29</v>
      </c>
      <c r="G176" s="18" t="str">
        <f t="shared" si="5"/>
        <v>S.O.</v>
      </c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1"/>
      <c r="W176" s="75"/>
      <c r="X176" s="75"/>
      <c r="Y176" s="75"/>
      <c r="Z176" s="96">
        <f>SUM(Tableau17[[#This Row],[A-1]:[G-5]])</f>
        <v>0</v>
      </c>
      <c r="AA176" s="96" t="str">
        <f>IF(AND(Z176&gt;0,Tableau17[[#This Row],[CDS]]=""),"Oui","Non")</f>
        <v>Non</v>
      </c>
      <c r="AB176" s="75"/>
      <c r="AC176" s="75"/>
      <c r="AD176" s="75"/>
      <c r="AE176" s="75"/>
      <c r="AF176" s="75"/>
      <c r="AG176" s="75"/>
      <c r="AH176" s="75"/>
      <c r="AI176" s="75"/>
      <c r="AJ176" s="81"/>
      <c r="AK176" s="75"/>
      <c r="AL176" s="75"/>
    </row>
    <row r="177" spans="1:38" ht="15.75" hidden="1" thickBot="1" x14ac:dyDescent="0.3">
      <c r="A177" s="75"/>
      <c r="B177" s="75"/>
      <c r="C177" s="35">
        <f>INDEX(Données!$F$2:$L$54,MATCH(F177,Données!$F$2:$F$54,0),2)</f>
        <v>44025</v>
      </c>
      <c r="D177" s="29" t="str">
        <f t="shared" si="4"/>
        <v>#6</v>
      </c>
      <c r="E177" s="7">
        <f>Données!H30</f>
        <v>44026</v>
      </c>
      <c r="F177" s="6" t="str">
        <f>INDEX(Données!$F$2:$L$54,MATCH('#6'!E177,Données!$G$2:$G$54,1),1)</f>
        <v>29</v>
      </c>
      <c r="G177" s="18" t="str">
        <f t="shared" si="5"/>
        <v>S.O.</v>
      </c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1"/>
      <c r="W177" s="75"/>
      <c r="X177" s="75"/>
      <c r="Y177" s="75"/>
      <c r="Z177" s="96">
        <f>SUM(Tableau17[[#This Row],[A-1]:[G-5]])</f>
        <v>0</v>
      </c>
      <c r="AA177" s="96" t="str">
        <f>IF(AND(Z177&gt;0,Tableau17[[#This Row],[CDS]]=""),"Oui","Non")</f>
        <v>Non</v>
      </c>
      <c r="AB177" s="75"/>
      <c r="AC177" s="75"/>
      <c r="AD177" s="75"/>
      <c r="AE177" s="75"/>
      <c r="AF177" s="75"/>
      <c r="AG177" s="75"/>
      <c r="AH177" s="75"/>
      <c r="AI177" s="75"/>
      <c r="AJ177" s="81"/>
      <c r="AK177" s="75"/>
      <c r="AL177" s="75"/>
    </row>
    <row r="178" spans="1:38" ht="15.75" hidden="1" thickBot="1" x14ac:dyDescent="0.3">
      <c r="A178" s="75"/>
      <c r="B178" s="75"/>
      <c r="C178" s="35">
        <f>INDEX(Données!$F$2:$L$54,MATCH(F178,Données!$F$2:$F$54,0),2)</f>
        <v>44025</v>
      </c>
      <c r="D178" s="29" t="str">
        <f t="shared" si="4"/>
        <v>#6</v>
      </c>
      <c r="E178" s="7">
        <f>Données!I30</f>
        <v>44027</v>
      </c>
      <c r="F178" s="6" t="str">
        <f>INDEX(Données!$F$2:$L$54,MATCH('#6'!E178,Données!$G$2:$G$54,1),1)</f>
        <v>29</v>
      </c>
      <c r="G178" s="18" t="str">
        <f t="shared" si="5"/>
        <v>S.O.</v>
      </c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1"/>
      <c r="W178" s="75"/>
      <c r="X178" s="75"/>
      <c r="Y178" s="75"/>
      <c r="Z178" s="96">
        <f>SUM(Tableau17[[#This Row],[A-1]:[G-5]])</f>
        <v>0</v>
      </c>
      <c r="AA178" s="96" t="str">
        <f>IF(AND(Z178&gt;0,Tableau17[[#This Row],[CDS]]=""),"Oui","Non")</f>
        <v>Non</v>
      </c>
      <c r="AB178" s="75"/>
      <c r="AC178" s="75"/>
      <c r="AD178" s="75"/>
      <c r="AE178" s="75"/>
      <c r="AF178" s="75"/>
      <c r="AG178" s="75"/>
      <c r="AH178" s="75"/>
      <c r="AI178" s="75"/>
      <c r="AJ178" s="81"/>
      <c r="AK178" s="75"/>
      <c r="AL178" s="75"/>
    </row>
    <row r="179" spans="1:38" ht="15.75" hidden="1" thickBot="1" x14ac:dyDescent="0.3">
      <c r="A179" s="75"/>
      <c r="B179" s="75"/>
      <c r="C179" s="35">
        <f>INDEX(Données!$F$2:$L$54,MATCH(F179,Données!$F$2:$F$54,0),2)</f>
        <v>44025</v>
      </c>
      <c r="D179" s="29" t="str">
        <f t="shared" si="4"/>
        <v>#6</v>
      </c>
      <c r="E179" s="7">
        <f>Données!J30</f>
        <v>44028</v>
      </c>
      <c r="F179" s="6" t="str">
        <f>INDEX(Données!$F$2:$L$54,MATCH('#6'!E179,Données!$G$2:$G$54,1),1)</f>
        <v>29</v>
      </c>
      <c r="G179" s="18" t="str">
        <f t="shared" si="5"/>
        <v>S.O.</v>
      </c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1"/>
      <c r="W179" s="75"/>
      <c r="X179" s="75"/>
      <c r="Y179" s="75"/>
      <c r="Z179" s="96">
        <f>SUM(Tableau17[[#This Row],[A-1]:[G-5]])</f>
        <v>0</v>
      </c>
      <c r="AA179" s="96" t="str">
        <f>IF(AND(Z179&gt;0,Tableau17[[#This Row],[CDS]]=""),"Oui","Non")</f>
        <v>Non</v>
      </c>
      <c r="AB179" s="75"/>
      <c r="AC179" s="75"/>
      <c r="AD179" s="75"/>
      <c r="AE179" s="75"/>
      <c r="AF179" s="75"/>
      <c r="AG179" s="75"/>
      <c r="AH179" s="75"/>
      <c r="AI179" s="75"/>
      <c r="AJ179" s="81"/>
      <c r="AK179" s="75"/>
      <c r="AL179" s="75"/>
    </row>
    <row r="180" spans="1:38" ht="15.75" hidden="1" thickBot="1" x14ac:dyDescent="0.3">
      <c r="A180" s="75"/>
      <c r="B180" s="75"/>
      <c r="C180" s="35">
        <f>INDEX(Données!$F$2:$L$54,MATCH(F180,Données!$F$2:$F$54,0),2)</f>
        <v>44025</v>
      </c>
      <c r="D180" s="29" t="str">
        <f t="shared" si="4"/>
        <v>#6</v>
      </c>
      <c r="E180" s="7">
        <f>Données!K30</f>
        <v>44029</v>
      </c>
      <c r="F180" s="6" t="str">
        <f>INDEX(Données!$F$2:$L$54,MATCH('#6'!E180,Données!$G$2:$G$54,1),1)</f>
        <v>29</v>
      </c>
      <c r="G180" s="18" t="str">
        <f t="shared" si="5"/>
        <v>S.O.</v>
      </c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1"/>
      <c r="W180" s="75"/>
      <c r="X180" s="75"/>
      <c r="Y180" s="75"/>
      <c r="Z180" s="96">
        <f>SUM(Tableau17[[#This Row],[A-1]:[G-5]])</f>
        <v>0</v>
      </c>
      <c r="AA180" s="96" t="str">
        <f>IF(AND(Z180&gt;0,Tableau17[[#This Row],[CDS]]=""),"Oui","Non")</f>
        <v>Non</v>
      </c>
      <c r="AB180" s="75"/>
      <c r="AC180" s="75"/>
      <c r="AD180" s="75"/>
      <c r="AE180" s="75"/>
      <c r="AF180" s="75"/>
      <c r="AG180" s="75"/>
      <c r="AH180" s="75"/>
      <c r="AI180" s="75"/>
      <c r="AJ180" s="81"/>
      <c r="AK180" s="75"/>
      <c r="AL180" s="75"/>
    </row>
    <row r="181" spans="1:38" ht="15.75" hidden="1" thickBot="1" x14ac:dyDescent="0.3">
      <c r="A181" s="75"/>
      <c r="B181" s="75"/>
      <c r="C181" s="35">
        <f>INDEX(Données!$F$2:$L$54,MATCH(F181,Données!$F$2:$F$54,0),2)</f>
        <v>44025</v>
      </c>
      <c r="D181" s="29" t="str">
        <f t="shared" si="4"/>
        <v>#6</v>
      </c>
      <c r="E181" s="7">
        <f>Données!L30</f>
        <v>44030</v>
      </c>
      <c r="F181" s="6" t="str">
        <f>INDEX(Données!$F$2:$L$54,MATCH('#6'!E181,Données!$G$2:$G$54,1),1)</f>
        <v>29</v>
      </c>
      <c r="G181" s="18" t="str">
        <f t="shared" si="5"/>
        <v>S.O.</v>
      </c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1"/>
      <c r="W181" s="75"/>
      <c r="X181" s="75"/>
      <c r="Y181" s="75"/>
      <c r="Z181" s="96">
        <f>SUM(Tableau17[[#This Row],[A-1]:[G-5]])</f>
        <v>0</v>
      </c>
      <c r="AA181" s="96" t="str">
        <f>IF(AND(Z181&gt;0,Tableau17[[#This Row],[CDS]]=""),"Oui","Non")</f>
        <v>Non</v>
      </c>
      <c r="AB181" s="75"/>
      <c r="AC181" s="75"/>
      <c r="AD181" s="75"/>
      <c r="AE181" s="75"/>
      <c r="AF181" s="75"/>
      <c r="AG181" s="75"/>
      <c r="AH181" s="75"/>
      <c r="AI181" s="75"/>
      <c r="AJ181" s="81"/>
      <c r="AK181" s="75"/>
      <c r="AL181" s="75"/>
    </row>
    <row r="182" spans="1:38" ht="15.75" hidden="1" thickBot="1" x14ac:dyDescent="0.3">
      <c r="A182" s="75"/>
      <c r="B182" s="75"/>
      <c r="C182" s="35">
        <f>INDEX(Données!$F$2:$L$54,MATCH(F182,Données!$F$2:$F$54,0),2)</f>
        <v>44032</v>
      </c>
      <c r="D182" s="29" t="str">
        <f t="shared" si="4"/>
        <v>#6</v>
      </c>
      <c r="E182" s="7">
        <f>Données!G31</f>
        <v>44032</v>
      </c>
      <c r="F182" s="6" t="str">
        <f>INDEX(Données!$F$2:$L$54,MATCH('#6'!E182,Données!$G$2:$G$54,1),1)</f>
        <v>30</v>
      </c>
      <c r="G182" s="18" t="str">
        <f t="shared" si="5"/>
        <v>S.O.</v>
      </c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1"/>
      <c r="W182" s="75"/>
      <c r="X182" s="75"/>
      <c r="Y182" s="75"/>
      <c r="Z182" s="96">
        <f>SUM(Tableau17[[#This Row],[A-1]:[G-5]])</f>
        <v>0</v>
      </c>
      <c r="AA182" s="96" t="str">
        <f>IF(AND(Z182&gt;0,Tableau17[[#This Row],[CDS]]=""),"Oui","Non")</f>
        <v>Non</v>
      </c>
      <c r="AB182" s="75"/>
      <c r="AC182" s="75"/>
      <c r="AD182" s="75"/>
      <c r="AE182" s="75"/>
      <c r="AF182" s="75"/>
      <c r="AG182" s="75"/>
      <c r="AH182" s="75"/>
      <c r="AI182" s="75"/>
      <c r="AJ182" s="81"/>
      <c r="AK182" s="75"/>
      <c r="AL182" s="75"/>
    </row>
    <row r="183" spans="1:38" ht="15.75" hidden="1" thickBot="1" x14ac:dyDescent="0.3">
      <c r="A183" s="75"/>
      <c r="B183" s="75"/>
      <c r="C183" s="35">
        <f>INDEX(Données!$F$2:$L$54,MATCH(F183,Données!$F$2:$F$54,0),2)</f>
        <v>44032</v>
      </c>
      <c r="D183" s="29" t="str">
        <f t="shared" si="4"/>
        <v>#6</v>
      </c>
      <c r="E183" s="7">
        <f>Données!H31</f>
        <v>44033</v>
      </c>
      <c r="F183" s="6" t="str">
        <f>INDEX(Données!$F$2:$L$54,MATCH('#6'!E183,Données!$G$2:$G$54,1),1)</f>
        <v>30</v>
      </c>
      <c r="G183" s="18" t="str">
        <f t="shared" si="5"/>
        <v>S.O.</v>
      </c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1"/>
      <c r="W183" s="75"/>
      <c r="X183" s="75"/>
      <c r="Y183" s="75"/>
      <c r="Z183" s="96">
        <f>SUM(Tableau17[[#This Row],[A-1]:[G-5]])</f>
        <v>0</v>
      </c>
      <c r="AA183" s="96" t="str">
        <f>IF(AND(Z183&gt;0,Tableau17[[#This Row],[CDS]]=""),"Oui","Non")</f>
        <v>Non</v>
      </c>
      <c r="AB183" s="75"/>
      <c r="AC183" s="75"/>
      <c r="AD183" s="75"/>
      <c r="AE183" s="75"/>
      <c r="AF183" s="75"/>
      <c r="AG183" s="75"/>
      <c r="AH183" s="75"/>
      <c r="AI183" s="75"/>
      <c r="AJ183" s="81"/>
      <c r="AK183" s="75"/>
      <c r="AL183" s="75"/>
    </row>
    <row r="184" spans="1:38" ht="15.75" hidden="1" thickBot="1" x14ac:dyDescent="0.3">
      <c r="A184" s="75"/>
      <c r="B184" s="75"/>
      <c r="C184" s="35">
        <f>INDEX(Données!$F$2:$L$54,MATCH(F184,Données!$F$2:$F$54,0),2)</f>
        <v>44032</v>
      </c>
      <c r="D184" s="29" t="str">
        <f t="shared" si="4"/>
        <v>#6</v>
      </c>
      <c r="E184" s="7">
        <f>Données!I31</f>
        <v>44034</v>
      </c>
      <c r="F184" s="6" t="str">
        <f>INDEX(Données!$F$2:$L$54,MATCH('#6'!E184,Données!$G$2:$G$54,1),1)</f>
        <v>30</v>
      </c>
      <c r="G184" s="18" t="str">
        <f t="shared" si="5"/>
        <v>S.O.</v>
      </c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1"/>
      <c r="W184" s="75"/>
      <c r="X184" s="75"/>
      <c r="Y184" s="75"/>
      <c r="Z184" s="96">
        <f>SUM(Tableau17[[#This Row],[A-1]:[G-5]])</f>
        <v>0</v>
      </c>
      <c r="AA184" s="96" t="str">
        <f>IF(AND(Z184&gt;0,Tableau17[[#This Row],[CDS]]=""),"Oui","Non")</f>
        <v>Non</v>
      </c>
      <c r="AB184" s="75"/>
      <c r="AC184" s="75"/>
      <c r="AD184" s="75"/>
      <c r="AE184" s="75"/>
      <c r="AF184" s="75"/>
      <c r="AG184" s="75"/>
      <c r="AH184" s="75"/>
      <c r="AI184" s="75"/>
      <c r="AJ184" s="81"/>
      <c r="AK184" s="75"/>
      <c r="AL184" s="75"/>
    </row>
    <row r="185" spans="1:38" ht="15.75" hidden="1" thickBot="1" x14ac:dyDescent="0.3">
      <c r="A185" s="75"/>
      <c r="B185" s="75"/>
      <c r="C185" s="35">
        <f>INDEX(Données!$F$2:$L$54,MATCH(F185,Données!$F$2:$F$54,0),2)</f>
        <v>44032</v>
      </c>
      <c r="D185" s="29" t="str">
        <f t="shared" si="4"/>
        <v>#6</v>
      </c>
      <c r="E185" s="7">
        <f>Données!J31</f>
        <v>44035</v>
      </c>
      <c r="F185" s="6" t="str">
        <f>INDEX(Données!$F$2:$L$54,MATCH('#6'!E185,Données!$G$2:$G$54,1),1)</f>
        <v>30</v>
      </c>
      <c r="G185" s="18" t="str">
        <f t="shared" si="5"/>
        <v>S.O.</v>
      </c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1"/>
      <c r="W185" s="75"/>
      <c r="X185" s="75"/>
      <c r="Y185" s="75"/>
      <c r="Z185" s="96">
        <f>SUM(Tableau17[[#This Row],[A-1]:[G-5]])</f>
        <v>0</v>
      </c>
      <c r="AA185" s="96" t="str">
        <f>IF(AND(Z185&gt;0,Tableau17[[#This Row],[CDS]]=""),"Oui","Non")</f>
        <v>Non</v>
      </c>
      <c r="AB185" s="75"/>
      <c r="AC185" s="75"/>
      <c r="AD185" s="75"/>
      <c r="AE185" s="75"/>
      <c r="AF185" s="75"/>
      <c r="AG185" s="75"/>
      <c r="AH185" s="75"/>
      <c r="AI185" s="75"/>
      <c r="AJ185" s="81"/>
      <c r="AK185" s="75"/>
      <c r="AL185" s="75"/>
    </row>
    <row r="186" spans="1:38" ht="15.75" hidden="1" thickBot="1" x14ac:dyDescent="0.3">
      <c r="A186" s="75"/>
      <c r="B186" s="75"/>
      <c r="C186" s="35">
        <f>INDEX(Données!$F$2:$L$54,MATCH(F186,Données!$F$2:$F$54,0),2)</f>
        <v>44032</v>
      </c>
      <c r="D186" s="29" t="str">
        <f t="shared" si="4"/>
        <v>#6</v>
      </c>
      <c r="E186" s="7">
        <f>Données!K31</f>
        <v>44036</v>
      </c>
      <c r="F186" s="6" t="str">
        <f>INDEX(Données!$F$2:$L$54,MATCH('#6'!E186,Données!$G$2:$G$54,1),1)</f>
        <v>30</v>
      </c>
      <c r="G186" s="18" t="str">
        <f t="shared" si="5"/>
        <v>S.O.</v>
      </c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1"/>
      <c r="W186" s="75"/>
      <c r="X186" s="75"/>
      <c r="Y186" s="75"/>
      <c r="Z186" s="96">
        <f>SUM(Tableau17[[#This Row],[A-1]:[G-5]])</f>
        <v>0</v>
      </c>
      <c r="AA186" s="96" t="str">
        <f>IF(AND(Z186&gt;0,Tableau17[[#This Row],[CDS]]=""),"Oui","Non")</f>
        <v>Non</v>
      </c>
      <c r="AB186" s="75"/>
      <c r="AC186" s="75"/>
      <c r="AD186" s="75"/>
      <c r="AE186" s="75"/>
      <c r="AF186" s="75"/>
      <c r="AG186" s="75"/>
      <c r="AH186" s="75"/>
      <c r="AI186" s="75"/>
      <c r="AJ186" s="81"/>
      <c r="AK186" s="75"/>
      <c r="AL186" s="75"/>
    </row>
    <row r="187" spans="1:38" ht="15.75" hidden="1" thickBot="1" x14ac:dyDescent="0.3">
      <c r="A187" s="75"/>
      <c r="B187" s="75"/>
      <c r="C187" s="35">
        <f>INDEX(Données!$F$2:$L$54,MATCH(F187,Données!$F$2:$F$54,0),2)</f>
        <v>44032</v>
      </c>
      <c r="D187" s="29" t="str">
        <f t="shared" si="4"/>
        <v>#6</v>
      </c>
      <c r="E187" s="7">
        <f>Données!L31</f>
        <v>44037</v>
      </c>
      <c r="F187" s="6" t="str">
        <f>INDEX(Données!$F$2:$L$54,MATCH('#6'!E187,Données!$G$2:$G$54,1),1)</f>
        <v>30</v>
      </c>
      <c r="G187" s="18" t="str">
        <f t="shared" si="5"/>
        <v>S.O.</v>
      </c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1"/>
      <c r="W187" s="75"/>
      <c r="X187" s="75"/>
      <c r="Y187" s="75"/>
      <c r="Z187" s="96">
        <f>SUM(Tableau17[[#This Row],[A-1]:[G-5]])</f>
        <v>0</v>
      </c>
      <c r="AA187" s="96" t="str">
        <f>IF(AND(Z187&gt;0,Tableau17[[#This Row],[CDS]]=""),"Oui","Non")</f>
        <v>Non</v>
      </c>
      <c r="AB187" s="75"/>
      <c r="AC187" s="75"/>
      <c r="AD187" s="75"/>
      <c r="AE187" s="75"/>
      <c r="AF187" s="75"/>
      <c r="AG187" s="75"/>
      <c r="AH187" s="75"/>
      <c r="AI187" s="75"/>
      <c r="AJ187" s="81"/>
      <c r="AK187" s="75"/>
      <c r="AL187" s="75"/>
    </row>
    <row r="188" spans="1:38" ht="15.75" hidden="1" thickBot="1" x14ac:dyDescent="0.3">
      <c r="A188" s="75"/>
      <c r="B188" s="75"/>
      <c r="C188" s="35">
        <f>INDEX(Données!$F$2:$L$54,MATCH(F188,Données!$F$2:$F$54,0),2)</f>
        <v>44039</v>
      </c>
      <c r="D188" s="29" t="str">
        <f t="shared" si="4"/>
        <v>#6</v>
      </c>
      <c r="E188" s="7">
        <f>Données!G32</f>
        <v>44039</v>
      </c>
      <c r="F188" s="6" t="str">
        <f>INDEX(Données!$F$2:$L$54,MATCH('#6'!E188,Données!$G$2:$G$54,1),1)</f>
        <v>31</v>
      </c>
      <c r="G188" s="18" t="str">
        <f t="shared" si="5"/>
        <v>S.O.</v>
      </c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1"/>
      <c r="W188" s="75"/>
      <c r="X188" s="75"/>
      <c r="Y188" s="75"/>
      <c r="Z188" s="96">
        <f>SUM(Tableau17[[#This Row],[A-1]:[G-5]])</f>
        <v>0</v>
      </c>
      <c r="AA188" s="96" t="str">
        <f>IF(AND(Z188&gt;0,Tableau17[[#This Row],[CDS]]=""),"Oui","Non")</f>
        <v>Non</v>
      </c>
      <c r="AB188" s="75"/>
      <c r="AC188" s="75"/>
      <c r="AD188" s="75"/>
      <c r="AE188" s="75"/>
      <c r="AF188" s="75"/>
      <c r="AG188" s="75"/>
      <c r="AH188" s="75"/>
      <c r="AI188" s="75"/>
      <c r="AJ188" s="81"/>
      <c r="AK188" s="75"/>
      <c r="AL188" s="75"/>
    </row>
    <row r="189" spans="1:38" ht="15.75" hidden="1" thickBot="1" x14ac:dyDescent="0.3">
      <c r="A189" s="75"/>
      <c r="B189" s="75"/>
      <c r="C189" s="35">
        <f>INDEX(Données!$F$2:$L$54,MATCH(F189,Données!$F$2:$F$54,0),2)</f>
        <v>44039</v>
      </c>
      <c r="D189" s="29" t="str">
        <f t="shared" si="4"/>
        <v>#6</v>
      </c>
      <c r="E189" s="7">
        <f>Données!H32</f>
        <v>44040</v>
      </c>
      <c r="F189" s="6" t="str">
        <f>INDEX(Données!$F$2:$L$54,MATCH('#6'!E189,Données!$G$2:$G$54,1),1)</f>
        <v>31</v>
      </c>
      <c r="G189" s="18" t="str">
        <f t="shared" si="5"/>
        <v>S.O.</v>
      </c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1"/>
      <c r="W189" s="75"/>
      <c r="X189" s="75"/>
      <c r="Y189" s="75"/>
      <c r="Z189" s="96">
        <f>SUM(Tableau17[[#This Row],[A-1]:[G-5]])</f>
        <v>0</v>
      </c>
      <c r="AA189" s="96" t="str">
        <f>IF(AND(Z189&gt;0,Tableau17[[#This Row],[CDS]]=""),"Oui","Non")</f>
        <v>Non</v>
      </c>
      <c r="AB189" s="75"/>
      <c r="AC189" s="75"/>
      <c r="AD189" s="75"/>
      <c r="AE189" s="75"/>
      <c r="AF189" s="75"/>
      <c r="AG189" s="75"/>
      <c r="AH189" s="75"/>
      <c r="AI189" s="75"/>
      <c r="AJ189" s="81"/>
      <c r="AK189" s="75"/>
      <c r="AL189" s="75"/>
    </row>
    <row r="190" spans="1:38" ht="15.75" hidden="1" thickBot="1" x14ac:dyDescent="0.3">
      <c r="A190" s="75"/>
      <c r="B190" s="75"/>
      <c r="C190" s="35">
        <f>INDEX(Données!$F$2:$L$54,MATCH(F190,Données!$F$2:$F$54,0),2)</f>
        <v>44039</v>
      </c>
      <c r="D190" s="29" t="str">
        <f t="shared" si="4"/>
        <v>#6</v>
      </c>
      <c r="E190" s="7">
        <f>Données!I32</f>
        <v>44041</v>
      </c>
      <c r="F190" s="6" t="str">
        <f>INDEX(Données!$F$2:$L$54,MATCH('#6'!E190,Données!$G$2:$G$54,1),1)</f>
        <v>31</v>
      </c>
      <c r="G190" s="18" t="str">
        <f t="shared" si="5"/>
        <v>S.O.</v>
      </c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1"/>
      <c r="W190" s="75"/>
      <c r="X190" s="75"/>
      <c r="Y190" s="75"/>
      <c r="Z190" s="96">
        <f>SUM(Tableau17[[#This Row],[A-1]:[G-5]])</f>
        <v>0</v>
      </c>
      <c r="AA190" s="96" t="str">
        <f>IF(AND(Z190&gt;0,Tableau17[[#This Row],[CDS]]=""),"Oui","Non")</f>
        <v>Non</v>
      </c>
      <c r="AB190" s="75"/>
      <c r="AC190" s="75"/>
      <c r="AD190" s="75"/>
      <c r="AE190" s="75"/>
      <c r="AF190" s="75"/>
      <c r="AG190" s="75"/>
      <c r="AH190" s="75"/>
      <c r="AI190" s="75"/>
      <c r="AJ190" s="81"/>
      <c r="AK190" s="75"/>
      <c r="AL190" s="75"/>
    </row>
    <row r="191" spans="1:38" ht="15.75" hidden="1" thickBot="1" x14ac:dyDescent="0.3">
      <c r="A191" s="75"/>
      <c r="B191" s="75"/>
      <c r="C191" s="35">
        <f>INDEX(Données!$F$2:$L$54,MATCH(F191,Données!$F$2:$F$54,0),2)</f>
        <v>44039</v>
      </c>
      <c r="D191" s="29" t="str">
        <f t="shared" si="4"/>
        <v>#6</v>
      </c>
      <c r="E191" s="7">
        <f>Données!J32</f>
        <v>44042</v>
      </c>
      <c r="F191" s="6" t="str">
        <f>INDEX(Données!$F$2:$L$54,MATCH('#6'!E191,Données!$G$2:$G$54,1),1)</f>
        <v>31</v>
      </c>
      <c r="G191" s="18" t="str">
        <f t="shared" si="5"/>
        <v>S.O.</v>
      </c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1"/>
      <c r="W191" s="75"/>
      <c r="X191" s="75"/>
      <c r="Y191" s="75"/>
      <c r="Z191" s="96">
        <f>SUM(Tableau17[[#This Row],[A-1]:[G-5]])</f>
        <v>0</v>
      </c>
      <c r="AA191" s="96" t="str">
        <f>IF(AND(Z191&gt;0,Tableau17[[#This Row],[CDS]]=""),"Oui","Non")</f>
        <v>Non</v>
      </c>
      <c r="AB191" s="75"/>
      <c r="AC191" s="75"/>
      <c r="AD191" s="75"/>
      <c r="AE191" s="75"/>
      <c r="AF191" s="75"/>
      <c r="AG191" s="75"/>
      <c r="AH191" s="75"/>
      <c r="AI191" s="75"/>
      <c r="AJ191" s="81"/>
      <c r="AK191" s="75"/>
      <c r="AL191" s="75"/>
    </row>
    <row r="192" spans="1:38" ht="15.75" hidden="1" thickBot="1" x14ac:dyDescent="0.3">
      <c r="A192" s="75"/>
      <c r="B192" s="75"/>
      <c r="C192" s="35">
        <f>INDEX(Données!$F$2:$L$54,MATCH(F192,Données!$F$2:$F$54,0),2)</f>
        <v>44039</v>
      </c>
      <c r="D192" s="29" t="str">
        <f t="shared" si="4"/>
        <v>#6</v>
      </c>
      <c r="E192" s="7">
        <f>Données!K32</f>
        <v>44043</v>
      </c>
      <c r="F192" s="6" t="str">
        <f>INDEX(Données!$F$2:$L$54,MATCH('#6'!E192,Données!$G$2:$G$54,1),1)</f>
        <v>31</v>
      </c>
      <c r="G192" s="18" t="str">
        <f t="shared" si="5"/>
        <v>S.O.</v>
      </c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1"/>
      <c r="W192" s="75"/>
      <c r="X192" s="75"/>
      <c r="Y192" s="75"/>
      <c r="Z192" s="96">
        <f>SUM(Tableau17[[#This Row],[A-1]:[G-5]])</f>
        <v>0</v>
      </c>
      <c r="AA192" s="96" t="str">
        <f>IF(AND(Z192&gt;0,Tableau17[[#This Row],[CDS]]=""),"Oui","Non")</f>
        <v>Non</v>
      </c>
      <c r="AB192" s="75"/>
      <c r="AC192" s="75"/>
      <c r="AD192" s="75"/>
      <c r="AE192" s="75"/>
      <c r="AF192" s="75"/>
      <c r="AG192" s="75"/>
      <c r="AH192" s="75"/>
      <c r="AI192" s="75"/>
      <c r="AJ192" s="81"/>
      <c r="AK192" s="75"/>
      <c r="AL192" s="75"/>
    </row>
    <row r="193" spans="1:38" ht="15.75" hidden="1" thickBot="1" x14ac:dyDescent="0.3">
      <c r="A193" s="75"/>
      <c r="B193" s="75"/>
      <c r="C193" s="35">
        <f>INDEX(Données!$F$2:$L$54,MATCH(F193,Données!$F$2:$F$54,0),2)</f>
        <v>44039</v>
      </c>
      <c r="D193" s="29" t="str">
        <f t="shared" si="4"/>
        <v>#6</v>
      </c>
      <c r="E193" s="7">
        <f>Données!L32</f>
        <v>44044</v>
      </c>
      <c r="F193" s="6" t="str">
        <f>INDEX(Données!$F$2:$L$54,MATCH('#6'!E193,Données!$G$2:$G$54,1),1)</f>
        <v>31</v>
      </c>
      <c r="G193" s="18" t="str">
        <f t="shared" si="5"/>
        <v>S.O.</v>
      </c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1"/>
      <c r="W193" s="75"/>
      <c r="X193" s="75"/>
      <c r="Y193" s="75"/>
      <c r="Z193" s="96">
        <f>SUM(Tableau17[[#This Row],[A-1]:[G-5]])</f>
        <v>0</v>
      </c>
      <c r="AA193" s="96" t="str">
        <f>IF(AND(Z193&gt;0,Tableau17[[#This Row],[CDS]]=""),"Oui","Non")</f>
        <v>Non</v>
      </c>
      <c r="AB193" s="75"/>
      <c r="AC193" s="75"/>
      <c r="AD193" s="75"/>
      <c r="AE193" s="75"/>
      <c r="AF193" s="75"/>
      <c r="AG193" s="75"/>
      <c r="AH193" s="75"/>
      <c r="AI193" s="75"/>
      <c r="AJ193" s="81"/>
      <c r="AK193" s="75"/>
      <c r="AL193" s="75"/>
    </row>
    <row r="194" spans="1:38" ht="15.75" hidden="1" thickBot="1" x14ac:dyDescent="0.3">
      <c r="A194" s="75"/>
      <c r="B194" s="75"/>
      <c r="C194" s="35">
        <f>INDEX(Données!$F$2:$L$54,MATCH(F194,Données!$F$2:$F$54,0),2)</f>
        <v>44046</v>
      </c>
      <c r="D194" s="29" t="str">
        <f t="shared" si="4"/>
        <v>#6</v>
      </c>
      <c r="E194" s="7">
        <f>Données!G33</f>
        <v>44046</v>
      </c>
      <c r="F194" s="6" t="str">
        <f>INDEX(Données!$F$2:$L$54,MATCH('#6'!E194,Données!$G$2:$G$54,1),1)</f>
        <v>32</v>
      </c>
      <c r="G194" s="18" t="str">
        <f t="shared" si="5"/>
        <v>S.O.</v>
      </c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1"/>
      <c r="W194" s="75"/>
      <c r="X194" s="75"/>
      <c r="Y194" s="75"/>
      <c r="Z194" s="96">
        <f>SUM(Tableau17[[#This Row],[A-1]:[G-5]])</f>
        <v>0</v>
      </c>
      <c r="AA194" s="96" t="str">
        <f>IF(AND(Z194&gt;0,Tableau17[[#This Row],[CDS]]=""),"Oui","Non")</f>
        <v>Non</v>
      </c>
      <c r="AB194" s="75"/>
      <c r="AC194" s="75"/>
      <c r="AD194" s="75"/>
      <c r="AE194" s="75"/>
      <c r="AF194" s="75"/>
      <c r="AG194" s="75"/>
      <c r="AH194" s="75"/>
      <c r="AI194" s="75"/>
      <c r="AJ194" s="81"/>
      <c r="AK194" s="75"/>
      <c r="AL194" s="75"/>
    </row>
    <row r="195" spans="1:38" ht="15.75" hidden="1" thickBot="1" x14ac:dyDescent="0.3">
      <c r="A195" s="75"/>
      <c r="B195" s="75"/>
      <c r="C195" s="35">
        <f>INDEX(Données!$F$2:$L$54,MATCH(F195,Données!$F$2:$F$54,0),2)</f>
        <v>44046</v>
      </c>
      <c r="D195" s="29" t="str">
        <f t="shared" si="4"/>
        <v>#6</v>
      </c>
      <c r="E195" s="7">
        <f>Données!H33</f>
        <v>44047</v>
      </c>
      <c r="F195" s="6" t="str">
        <f>INDEX(Données!$F$2:$L$54,MATCH('#6'!E195,Données!$G$2:$G$54,1),1)</f>
        <v>32</v>
      </c>
      <c r="G195" s="18" t="str">
        <f t="shared" si="5"/>
        <v>S.O.</v>
      </c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1"/>
      <c r="W195" s="75"/>
      <c r="X195" s="75"/>
      <c r="Y195" s="75"/>
      <c r="Z195" s="96">
        <f>SUM(Tableau17[[#This Row],[A-1]:[G-5]])</f>
        <v>0</v>
      </c>
      <c r="AA195" s="96" t="str">
        <f>IF(AND(Z195&gt;0,Tableau17[[#This Row],[CDS]]=""),"Oui","Non")</f>
        <v>Non</v>
      </c>
      <c r="AB195" s="75"/>
      <c r="AC195" s="75"/>
      <c r="AD195" s="75"/>
      <c r="AE195" s="75"/>
      <c r="AF195" s="75"/>
      <c r="AG195" s="75"/>
      <c r="AH195" s="75"/>
      <c r="AI195" s="75"/>
      <c r="AJ195" s="81"/>
      <c r="AK195" s="75"/>
      <c r="AL195" s="75"/>
    </row>
    <row r="196" spans="1:38" ht="15.75" hidden="1" thickBot="1" x14ac:dyDescent="0.3">
      <c r="A196" s="75"/>
      <c r="B196" s="75"/>
      <c r="C196" s="35">
        <f>INDEX(Données!$F$2:$L$54,MATCH(F196,Données!$F$2:$F$54,0),2)</f>
        <v>44046</v>
      </c>
      <c r="D196" s="29" t="str">
        <f t="shared" si="4"/>
        <v>#6</v>
      </c>
      <c r="E196" s="7">
        <f>Données!I33</f>
        <v>44048</v>
      </c>
      <c r="F196" s="6" t="str">
        <f>INDEX(Données!$F$2:$L$54,MATCH('#6'!E196,Données!$G$2:$G$54,1),1)</f>
        <v>32</v>
      </c>
      <c r="G196" s="18" t="str">
        <f t="shared" si="5"/>
        <v>S.O.</v>
      </c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1"/>
      <c r="W196" s="75"/>
      <c r="X196" s="75"/>
      <c r="Y196" s="75"/>
      <c r="Z196" s="96">
        <f>SUM(Tableau17[[#This Row],[A-1]:[G-5]])</f>
        <v>0</v>
      </c>
      <c r="AA196" s="96" t="str">
        <f>IF(AND(Z196&gt;0,Tableau17[[#This Row],[CDS]]=""),"Oui","Non")</f>
        <v>Non</v>
      </c>
      <c r="AB196" s="75"/>
      <c r="AC196" s="75"/>
      <c r="AD196" s="75"/>
      <c r="AE196" s="75"/>
      <c r="AF196" s="75"/>
      <c r="AG196" s="75"/>
      <c r="AH196" s="75"/>
      <c r="AI196" s="75"/>
      <c r="AJ196" s="81"/>
      <c r="AK196" s="75"/>
      <c r="AL196" s="75"/>
    </row>
    <row r="197" spans="1:38" ht="15.75" hidden="1" thickBot="1" x14ac:dyDescent="0.3">
      <c r="A197" s="75"/>
      <c r="B197" s="75"/>
      <c r="C197" s="35">
        <f>INDEX(Données!$F$2:$L$54,MATCH(F197,Données!$F$2:$F$54,0),2)</f>
        <v>44046</v>
      </c>
      <c r="D197" s="29" t="str">
        <f t="shared" si="4"/>
        <v>#6</v>
      </c>
      <c r="E197" s="7">
        <f>Données!J33</f>
        <v>44049</v>
      </c>
      <c r="F197" s="6" t="str">
        <f>INDEX(Données!$F$2:$L$54,MATCH('#6'!E197,Données!$G$2:$G$54,1),1)</f>
        <v>32</v>
      </c>
      <c r="G197" s="18" t="str">
        <f t="shared" si="5"/>
        <v>S.O.</v>
      </c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1"/>
      <c r="W197" s="75"/>
      <c r="X197" s="75"/>
      <c r="Y197" s="75"/>
      <c r="Z197" s="96">
        <f>SUM(Tableau17[[#This Row],[A-1]:[G-5]])</f>
        <v>0</v>
      </c>
      <c r="AA197" s="96" t="str">
        <f>IF(AND(Z197&gt;0,Tableau17[[#This Row],[CDS]]=""),"Oui","Non")</f>
        <v>Non</v>
      </c>
      <c r="AB197" s="75"/>
      <c r="AC197" s="75"/>
      <c r="AD197" s="75"/>
      <c r="AE197" s="75"/>
      <c r="AF197" s="75"/>
      <c r="AG197" s="75"/>
      <c r="AH197" s="75"/>
      <c r="AI197" s="75"/>
      <c r="AJ197" s="81"/>
      <c r="AK197" s="75"/>
      <c r="AL197" s="75"/>
    </row>
    <row r="198" spans="1:38" ht="15.75" hidden="1" thickBot="1" x14ac:dyDescent="0.3">
      <c r="A198" s="75"/>
      <c r="B198" s="75"/>
      <c r="C198" s="35">
        <f>INDEX(Données!$F$2:$L$54,MATCH(F198,Données!$F$2:$F$54,0),2)</f>
        <v>44046</v>
      </c>
      <c r="D198" s="29" t="str">
        <f t="shared" si="4"/>
        <v>#6</v>
      </c>
      <c r="E198" s="7">
        <f>Données!K33</f>
        <v>44050</v>
      </c>
      <c r="F198" s="6" t="str">
        <f>INDEX(Données!$F$2:$L$54,MATCH('#6'!E198,Données!$G$2:$G$54,1),1)</f>
        <v>32</v>
      </c>
      <c r="G198" s="18" t="str">
        <f t="shared" si="5"/>
        <v>S.O.</v>
      </c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1"/>
      <c r="W198" s="75"/>
      <c r="X198" s="75"/>
      <c r="Y198" s="75"/>
      <c r="Z198" s="96">
        <f>SUM(Tableau17[[#This Row],[A-1]:[G-5]])</f>
        <v>0</v>
      </c>
      <c r="AA198" s="96" t="str">
        <f>IF(AND(Z198&gt;0,Tableau17[[#This Row],[CDS]]=""),"Oui","Non")</f>
        <v>Non</v>
      </c>
      <c r="AB198" s="75"/>
      <c r="AC198" s="75"/>
      <c r="AD198" s="75"/>
      <c r="AE198" s="75"/>
      <c r="AF198" s="75"/>
      <c r="AG198" s="75"/>
      <c r="AH198" s="75"/>
      <c r="AI198" s="75"/>
      <c r="AJ198" s="81"/>
      <c r="AK198" s="75"/>
      <c r="AL198" s="75"/>
    </row>
    <row r="199" spans="1:38" ht="15.75" hidden="1" thickBot="1" x14ac:dyDescent="0.3">
      <c r="A199" s="75"/>
      <c r="B199" s="75"/>
      <c r="C199" s="35">
        <f>INDEX(Données!$F$2:$L$54,MATCH(F199,Données!$F$2:$F$54,0),2)</f>
        <v>44046</v>
      </c>
      <c r="D199" s="29" t="str">
        <f t="shared" si="4"/>
        <v>#6</v>
      </c>
      <c r="E199" s="7">
        <f>Données!L33</f>
        <v>44051</v>
      </c>
      <c r="F199" s="6" t="str">
        <f>INDEX(Données!$F$2:$L$54,MATCH('#6'!E199,Données!$G$2:$G$54,1),1)</f>
        <v>32</v>
      </c>
      <c r="G199" s="18" t="str">
        <f t="shared" si="5"/>
        <v>S.O.</v>
      </c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1"/>
      <c r="W199" s="75"/>
      <c r="X199" s="75"/>
      <c r="Y199" s="75"/>
      <c r="Z199" s="96">
        <f>SUM(Tableau17[[#This Row],[A-1]:[G-5]])</f>
        <v>0</v>
      </c>
      <c r="AA199" s="96" t="str">
        <f>IF(AND(Z199&gt;0,Tableau17[[#This Row],[CDS]]=""),"Oui","Non")</f>
        <v>Non</v>
      </c>
      <c r="AB199" s="75"/>
      <c r="AC199" s="75"/>
      <c r="AD199" s="75"/>
      <c r="AE199" s="75"/>
      <c r="AF199" s="75"/>
      <c r="AG199" s="75"/>
      <c r="AH199" s="75"/>
      <c r="AI199" s="75"/>
      <c r="AJ199" s="81"/>
      <c r="AK199" s="75"/>
      <c r="AL199" s="75"/>
    </row>
    <row r="200" spans="1:38" ht="15.75" hidden="1" thickBot="1" x14ac:dyDescent="0.3">
      <c r="A200" s="75"/>
      <c r="B200" s="75"/>
      <c r="C200" s="35">
        <f>INDEX(Données!$F$2:$L$54,MATCH(F200,Données!$F$2:$F$54,0),2)</f>
        <v>44053</v>
      </c>
      <c r="D200" s="29" t="str">
        <f t="shared" ref="D200:D263" si="6">$E$4</f>
        <v>#6</v>
      </c>
      <c r="E200" s="7">
        <f>Données!G34</f>
        <v>44053</v>
      </c>
      <c r="F200" s="6" t="str">
        <f>INDEX(Données!$F$2:$L$54,MATCH('#6'!E200,Données!$G$2:$G$54,1),1)</f>
        <v>33</v>
      </c>
      <c r="G200" s="18" t="str">
        <f t="shared" ref="G200:G263" si="7">IF(AND($V$5=1),"PS-1",IF(AND($V$5=2),"PS-2",IF(AND($V$5=4),"PS-4",IF(AND($V$5=6),"S.O.",IF(AND($V$5=5),"")))))</f>
        <v>S.O.</v>
      </c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1"/>
      <c r="W200" s="75"/>
      <c r="X200" s="75"/>
      <c r="Y200" s="75"/>
      <c r="Z200" s="96">
        <f>SUM(Tableau17[[#This Row],[A-1]:[G-5]])</f>
        <v>0</v>
      </c>
      <c r="AA200" s="96" t="str">
        <f>IF(AND(Z200&gt;0,Tableau17[[#This Row],[CDS]]=""),"Oui","Non")</f>
        <v>Non</v>
      </c>
      <c r="AB200" s="75"/>
      <c r="AC200" s="75"/>
      <c r="AD200" s="75"/>
      <c r="AE200" s="75"/>
      <c r="AF200" s="75"/>
      <c r="AG200" s="75"/>
      <c r="AH200" s="75"/>
      <c r="AI200" s="75"/>
      <c r="AJ200" s="81"/>
      <c r="AK200" s="75"/>
      <c r="AL200" s="75"/>
    </row>
    <row r="201" spans="1:38" ht="15.75" hidden="1" thickBot="1" x14ac:dyDescent="0.3">
      <c r="A201" s="75"/>
      <c r="B201" s="75"/>
      <c r="C201" s="35">
        <f>INDEX(Données!$F$2:$L$54,MATCH(F201,Données!$F$2:$F$54,0),2)</f>
        <v>44053</v>
      </c>
      <c r="D201" s="29" t="str">
        <f t="shared" si="6"/>
        <v>#6</v>
      </c>
      <c r="E201" s="7">
        <f>Données!H34</f>
        <v>44054</v>
      </c>
      <c r="F201" s="6" t="str">
        <f>INDEX(Données!$F$2:$L$54,MATCH('#6'!E201,Données!$G$2:$G$54,1),1)</f>
        <v>33</v>
      </c>
      <c r="G201" s="18" t="str">
        <f t="shared" si="7"/>
        <v>S.O.</v>
      </c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1"/>
      <c r="W201" s="75"/>
      <c r="X201" s="75"/>
      <c r="Y201" s="75"/>
      <c r="Z201" s="96">
        <f>SUM(Tableau17[[#This Row],[A-1]:[G-5]])</f>
        <v>0</v>
      </c>
      <c r="AA201" s="96" t="str">
        <f>IF(AND(Z201&gt;0,Tableau17[[#This Row],[CDS]]=""),"Oui","Non")</f>
        <v>Non</v>
      </c>
      <c r="AB201" s="75"/>
      <c r="AC201" s="75"/>
      <c r="AD201" s="75"/>
      <c r="AE201" s="75"/>
      <c r="AF201" s="75"/>
      <c r="AG201" s="75"/>
      <c r="AH201" s="75"/>
      <c r="AI201" s="75"/>
      <c r="AJ201" s="81"/>
      <c r="AK201" s="75"/>
      <c r="AL201" s="75"/>
    </row>
    <row r="202" spans="1:38" ht="15.75" hidden="1" thickBot="1" x14ac:dyDescent="0.3">
      <c r="A202" s="75"/>
      <c r="B202" s="75"/>
      <c r="C202" s="35">
        <f>INDEX(Données!$F$2:$L$54,MATCH(F202,Données!$F$2:$F$54,0),2)</f>
        <v>44053</v>
      </c>
      <c r="D202" s="29" t="str">
        <f t="shared" si="6"/>
        <v>#6</v>
      </c>
      <c r="E202" s="7">
        <f>Données!I34</f>
        <v>44055</v>
      </c>
      <c r="F202" s="6" t="str">
        <f>INDEX(Données!$F$2:$L$54,MATCH('#6'!E202,Données!$G$2:$G$54,1),1)</f>
        <v>33</v>
      </c>
      <c r="G202" s="18" t="str">
        <f t="shared" si="7"/>
        <v>S.O.</v>
      </c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1"/>
      <c r="W202" s="75"/>
      <c r="X202" s="75"/>
      <c r="Y202" s="75"/>
      <c r="Z202" s="96">
        <f>SUM(Tableau17[[#This Row],[A-1]:[G-5]])</f>
        <v>0</v>
      </c>
      <c r="AA202" s="96" t="str">
        <f>IF(AND(Z202&gt;0,Tableau17[[#This Row],[CDS]]=""),"Oui","Non")</f>
        <v>Non</v>
      </c>
      <c r="AB202" s="75"/>
      <c r="AC202" s="75"/>
      <c r="AD202" s="75"/>
      <c r="AE202" s="75"/>
      <c r="AF202" s="75"/>
      <c r="AG202" s="75"/>
      <c r="AH202" s="75"/>
      <c r="AI202" s="75"/>
      <c r="AJ202" s="81"/>
      <c r="AK202" s="75"/>
      <c r="AL202" s="75"/>
    </row>
    <row r="203" spans="1:38" ht="15.75" hidden="1" thickBot="1" x14ac:dyDescent="0.3">
      <c r="A203" s="75"/>
      <c r="B203" s="75"/>
      <c r="C203" s="35">
        <f>INDEX(Données!$F$2:$L$54,MATCH(F203,Données!$F$2:$F$54,0),2)</f>
        <v>44053</v>
      </c>
      <c r="D203" s="29" t="str">
        <f t="shared" si="6"/>
        <v>#6</v>
      </c>
      <c r="E203" s="7">
        <f>Données!J34</f>
        <v>44056</v>
      </c>
      <c r="F203" s="6" t="str">
        <f>INDEX(Données!$F$2:$L$54,MATCH('#6'!E203,Données!$G$2:$G$54,1),1)</f>
        <v>33</v>
      </c>
      <c r="G203" s="18" t="str">
        <f t="shared" si="7"/>
        <v>S.O.</v>
      </c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1"/>
      <c r="W203" s="75"/>
      <c r="X203" s="75"/>
      <c r="Y203" s="75"/>
      <c r="Z203" s="96">
        <f>SUM(Tableau17[[#This Row],[A-1]:[G-5]])</f>
        <v>0</v>
      </c>
      <c r="AA203" s="96" t="str">
        <f>IF(AND(Z203&gt;0,Tableau17[[#This Row],[CDS]]=""),"Oui","Non")</f>
        <v>Non</v>
      </c>
      <c r="AB203" s="75"/>
      <c r="AC203" s="75"/>
      <c r="AD203" s="75"/>
      <c r="AE203" s="75"/>
      <c r="AF203" s="75"/>
      <c r="AG203" s="75"/>
      <c r="AH203" s="75"/>
      <c r="AI203" s="75"/>
      <c r="AJ203" s="81"/>
      <c r="AK203" s="75"/>
      <c r="AL203" s="75"/>
    </row>
    <row r="204" spans="1:38" ht="15.75" hidden="1" thickBot="1" x14ac:dyDescent="0.3">
      <c r="A204" s="75"/>
      <c r="B204" s="75"/>
      <c r="C204" s="35">
        <f>INDEX(Données!$F$2:$L$54,MATCH(F204,Données!$F$2:$F$54,0),2)</f>
        <v>44053</v>
      </c>
      <c r="D204" s="29" t="str">
        <f t="shared" si="6"/>
        <v>#6</v>
      </c>
      <c r="E204" s="7">
        <f>Données!K34</f>
        <v>44057</v>
      </c>
      <c r="F204" s="6" t="str">
        <f>INDEX(Données!$F$2:$L$54,MATCH('#6'!E204,Données!$G$2:$G$54,1),1)</f>
        <v>33</v>
      </c>
      <c r="G204" s="18" t="str">
        <f t="shared" si="7"/>
        <v>S.O.</v>
      </c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1"/>
      <c r="W204" s="75"/>
      <c r="X204" s="75"/>
      <c r="Y204" s="75"/>
      <c r="Z204" s="96">
        <f>SUM(Tableau17[[#This Row],[A-1]:[G-5]])</f>
        <v>0</v>
      </c>
      <c r="AA204" s="96" t="str">
        <f>IF(AND(Z204&gt;0,Tableau17[[#This Row],[CDS]]=""),"Oui","Non")</f>
        <v>Non</v>
      </c>
      <c r="AB204" s="75"/>
      <c r="AC204" s="75"/>
      <c r="AD204" s="75"/>
      <c r="AE204" s="75"/>
      <c r="AF204" s="75"/>
      <c r="AG204" s="75"/>
      <c r="AH204" s="75"/>
      <c r="AI204" s="75"/>
      <c r="AJ204" s="81"/>
      <c r="AK204" s="75"/>
      <c r="AL204" s="75"/>
    </row>
    <row r="205" spans="1:38" ht="15.75" hidden="1" thickBot="1" x14ac:dyDescent="0.3">
      <c r="A205" s="75"/>
      <c r="B205" s="75"/>
      <c r="C205" s="35">
        <f>INDEX(Données!$F$2:$L$54,MATCH(F205,Données!$F$2:$F$54,0),2)</f>
        <v>44053</v>
      </c>
      <c r="D205" s="29" t="str">
        <f t="shared" si="6"/>
        <v>#6</v>
      </c>
      <c r="E205" s="7">
        <f>Données!L34</f>
        <v>44058</v>
      </c>
      <c r="F205" s="6" t="str">
        <f>INDEX(Données!$F$2:$L$54,MATCH('#6'!E205,Données!$G$2:$G$54,1),1)</f>
        <v>33</v>
      </c>
      <c r="G205" s="18" t="str">
        <f t="shared" si="7"/>
        <v>S.O.</v>
      </c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1"/>
      <c r="W205" s="75"/>
      <c r="X205" s="75"/>
      <c r="Y205" s="75"/>
      <c r="Z205" s="96">
        <f>SUM(Tableau17[[#This Row],[A-1]:[G-5]])</f>
        <v>0</v>
      </c>
      <c r="AA205" s="96" t="str">
        <f>IF(AND(Z205&gt;0,Tableau17[[#This Row],[CDS]]=""),"Oui","Non")</f>
        <v>Non</v>
      </c>
      <c r="AB205" s="75"/>
      <c r="AC205" s="75"/>
      <c r="AD205" s="75"/>
      <c r="AE205" s="75"/>
      <c r="AF205" s="75"/>
      <c r="AG205" s="75"/>
      <c r="AH205" s="75"/>
      <c r="AI205" s="75"/>
      <c r="AJ205" s="81"/>
      <c r="AK205" s="75"/>
      <c r="AL205" s="75"/>
    </row>
    <row r="206" spans="1:38" ht="15.75" hidden="1" thickBot="1" x14ac:dyDescent="0.3">
      <c r="A206" s="75"/>
      <c r="B206" s="75"/>
      <c r="C206" s="35">
        <f>INDEX(Données!$F$2:$L$54,MATCH(F206,Données!$F$2:$F$54,0),2)</f>
        <v>44060</v>
      </c>
      <c r="D206" s="29" t="str">
        <f t="shared" si="6"/>
        <v>#6</v>
      </c>
      <c r="E206" s="7">
        <f>Données!G35</f>
        <v>44060</v>
      </c>
      <c r="F206" s="6" t="str">
        <f>INDEX(Données!$F$2:$L$54,MATCH('#6'!E206,Données!$G$2:$G$54,1),1)</f>
        <v>34</v>
      </c>
      <c r="G206" s="18" t="str">
        <f t="shared" si="7"/>
        <v>S.O.</v>
      </c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1"/>
      <c r="W206" s="75"/>
      <c r="X206" s="75"/>
      <c r="Y206" s="75"/>
      <c r="Z206" s="96">
        <f>SUM(Tableau17[[#This Row],[A-1]:[G-5]])</f>
        <v>0</v>
      </c>
      <c r="AA206" s="96" t="str">
        <f>IF(AND(Z206&gt;0,Tableau17[[#This Row],[CDS]]=""),"Oui","Non")</f>
        <v>Non</v>
      </c>
      <c r="AB206" s="75"/>
      <c r="AC206" s="75"/>
      <c r="AD206" s="75"/>
      <c r="AE206" s="75"/>
      <c r="AF206" s="75"/>
      <c r="AG206" s="75"/>
      <c r="AH206" s="75"/>
      <c r="AI206" s="75"/>
      <c r="AJ206" s="81"/>
      <c r="AK206" s="75"/>
      <c r="AL206" s="75"/>
    </row>
    <row r="207" spans="1:38" ht="15.75" hidden="1" thickBot="1" x14ac:dyDescent="0.3">
      <c r="A207" s="75"/>
      <c r="B207" s="75"/>
      <c r="C207" s="35">
        <f>INDEX(Données!$F$2:$L$54,MATCH(F207,Données!$F$2:$F$54,0),2)</f>
        <v>44060</v>
      </c>
      <c r="D207" s="29" t="str">
        <f t="shared" si="6"/>
        <v>#6</v>
      </c>
      <c r="E207" s="7">
        <f>Données!H35</f>
        <v>44061</v>
      </c>
      <c r="F207" s="6" t="str">
        <f>INDEX(Données!$F$2:$L$54,MATCH('#6'!E207,Données!$G$2:$G$54,1),1)</f>
        <v>34</v>
      </c>
      <c r="G207" s="18" t="str">
        <f t="shared" si="7"/>
        <v>S.O.</v>
      </c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1"/>
      <c r="W207" s="75"/>
      <c r="X207" s="75"/>
      <c r="Y207" s="75"/>
      <c r="Z207" s="96">
        <f>SUM(Tableau17[[#This Row],[A-1]:[G-5]])</f>
        <v>0</v>
      </c>
      <c r="AA207" s="96" t="str">
        <f>IF(AND(Z207&gt;0,Tableau17[[#This Row],[CDS]]=""),"Oui","Non")</f>
        <v>Non</v>
      </c>
      <c r="AB207" s="75"/>
      <c r="AC207" s="75"/>
      <c r="AD207" s="75"/>
      <c r="AE207" s="75"/>
      <c r="AF207" s="75"/>
      <c r="AG207" s="75"/>
      <c r="AH207" s="75"/>
      <c r="AI207" s="75"/>
      <c r="AJ207" s="81"/>
      <c r="AK207" s="75"/>
      <c r="AL207" s="75"/>
    </row>
    <row r="208" spans="1:38" ht="15.75" hidden="1" thickBot="1" x14ac:dyDescent="0.3">
      <c r="A208" s="75"/>
      <c r="B208" s="75"/>
      <c r="C208" s="35">
        <f>INDEX(Données!$F$2:$L$54,MATCH(F208,Données!$F$2:$F$54,0),2)</f>
        <v>44060</v>
      </c>
      <c r="D208" s="29" t="str">
        <f t="shared" si="6"/>
        <v>#6</v>
      </c>
      <c r="E208" s="7">
        <f>Données!I35</f>
        <v>44062</v>
      </c>
      <c r="F208" s="6" t="str">
        <f>INDEX(Données!$F$2:$L$54,MATCH('#6'!E208,Données!$G$2:$G$54,1),1)</f>
        <v>34</v>
      </c>
      <c r="G208" s="18" t="str">
        <f t="shared" si="7"/>
        <v>S.O.</v>
      </c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1"/>
      <c r="W208" s="75"/>
      <c r="X208" s="75"/>
      <c r="Y208" s="75"/>
      <c r="Z208" s="96">
        <f>SUM(Tableau17[[#This Row],[A-1]:[G-5]])</f>
        <v>0</v>
      </c>
      <c r="AA208" s="96" t="str">
        <f>IF(AND(Z208&gt;0,Tableau17[[#This Row],[CDS]]=""),"Oui","Non")</f>
        <v>Non</v>
      </c>
      <c r="AB208" s="75"/>
      <c r="AC208" s="75"/>
      <c r="AD208" s="75"/>
      <c r="AE208" s="75"/>
      <c r="AF208" s="75"/>
      <c r="AG208" s="75"/>
      <c r="AH208" s="75"/>
      <c r="AI208" s="75"/>
      <c r="AJ208" s="81"/>
      <c r="AK208" s="75"/>
      <c r="AL208" s="75"/>
    </row>
    <row r="209" spans="1:38" ht="15.75" hidden="1" thickBot="1" x14ac:dyDescent="0.3">
      <c r="A209" s="75"/>
      <c r="B209" s="75"/>
      <c r="C209" s="35">
        <f>INDEX(Données!$F$2:$L$54,MATCH(F209,Données!$F$2:$F$54,0),2)</f>
        <v>44060</v>
      </c>
      <c r="D209" s="29" t="str">
        <f t="shared" si="6"/>
        <v>#6</v>
      </c>
      <c r="E209" s="7">
        <f>Données!J35</f>
        <v>44063</v>
      </c>
      <c r="F209" s="6" t="str">
        <f>INDEX(Données!$F$2:$L$54,MATCH('#6'!E209,Données!$G$2:$G$54,1),1)</f>
        <v>34</v>
      </c>
      <c r="G209" s="18" t="str">
        <f t="shared" si="7"/>
        <v>S.O.</v>
      </c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1"/>
      <c r="W209" s="75"/>
      <c r="X209" s="75"/>
      <c r="Y209" s="75"/>
      <c r="Z209" s="96">
        <f>SUM(Tableau17[[#This Row],[A-1]:[G-5]])</f>
        <v>0</v>
      </c>
      <c r="AA209" s="96" t="str">
        <f>IF(AND(Z209&gt;0,Tableau17[[#This Row],[CDS]]=""),"Oui","Non")</f>
        <v>Non</v>
      </c>
      <c r="AB209" s="75"/>
      <c r="AC209" s="75"/>
      <c r="AD209" s="75"/>
      <c r="AE209" s="75"/>
      <c r="AF209" s="75"/>
      <c r="AG209" s="75"/>
      <c r="AH209" s="75"/>
      <c r="AI209" s="75"/>
      <c r="AJ209" s="81"/>
      <c r="AK209" s="75"/>
      <c r="AL209" s="75"/>
    </row>
    <row r="210" spans="1:38" ht="15.75" hidden="1" thickBot="1" x14ac:dyDescent="0.3">
      <c r="A210" s="75"/>
      <c r="B210" s="75"/>
      <c r="C210" s="35">
        <f>INDEX(Données!$F$2:$L$54,MATCH(F210,Données!$F$2:$F$54,0),2)</f>
        <v>44060</v>
      </c>
      <c r="D210" s="29" t="str">
        <f t="shared" si="6"/>
        <v>#6</v>
      </c>
      <c r="E210" s="7">
        <f>Données!K35</f>
        <v>44064</v>
      </c>
      <c r="F210" s="6" t="str">
        <f>INDEX(Données!$F$2:$L$54,MATCH('#6'!E210,Données!$G$2:$G$54,1),1)</f>
        <v>34</v>
      </c>
      <c r="G210" s="18" t="str">
        <f t="shared" si="7"/>
        <v>S.O.</v>
      </c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1"/>
      <c r="W210" s="75"/>
      <c r="X210" s="75"/>
      <c r="Y210" s="75"/>
      <c r="Z210" s="96">
        <f>SUM(Tableau17[[#This Row],[A-1]:[G-5]])</f>
        <v>0</v>
      </c>
      <c r="AA210" s="96" t="str">
        <f>IF(AND(Z210&gt;0,Tableau17[[#This Row],[CDS]]=""),"Oui","Non")</f>
        <v>Non</v>
      </c>
      <c r="AB210" s="75"/>
      <c r="AC210" s="75"/>
      <c r="AD210" s="75"/>
      <c r="AE210" s="75"/>
      <c r="AF210" s="75"/>
      <c r="AG210" s="75"/>
      <c r="AH210" s="75"/>
      <c r="AI210" s="75"/>
      <c r="AJ210" s="81"/>
      <c r="AK210" s="75"/>
      <c r="AL210" s="75"/>
    </row>
    <row r="211" spans="1:38" ht="15.75" hidden="1" thickBot="1" x14ac:dyDescent="0.3">
      <c r="A211" s="75"/>
      <c r="B211" s="75"/>
      <c r="C211" s="35">
        <f>INDEX(Données!$F$2:$L$54,MATCH(F211,Données!$F$2:$F$54,0),2)</f>
        <v>44060</v>
      </c>
      <c r="D211" s="29" t="str">
        <f t="shared" si="6"/>
        <v>#6</v>
      </c>
      <c r="E211" s="7">
        <f>Données!L35</f>
        <v>44065</v>
      </c>
      <c r="F211" s="6" t="str">
        <f>INDEX(Données!$F$2:$L$54,MATCH('#6'!E211,Données!$G$2:$G$54,1),1)</f>
        <v>34</v>
      </c>
      <c r="G211" s="18" t="str">
        <f t="shared" si="7"/>
        <v>S.O.</v>
      </c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1"/>
      <c r="W211" s="75"/>
      <c r="X211" s="75"/>
      <c r="Y211" s="75"/>
      <c r="Z211" s="96">
        <f>SUM(Tableau17[[#This Row],[A-1]:[G-5]])</f>
        <v>0</v>
      </c>
      <c r="AA211" s="96" t="str">
        <f>IF(AND(Z211&gt;0,Tableau17[[#This Row],[CDS]]=""),"Oui","Non")</f>
        <v>Non</v>
      </c>
      <c r="AB211" s="75"/>
      <c r="AC211" s="75"/>
      <c r="AD211" s="75"/>
      <c r="AE211" s="75"/>
      <c r="AF211" s="75"/>
      <c r="AG211" s="75"/>
      <c r="AH211" s="75"/>
      <c r="AI211" s="75"/>
      <c r="AJ211" s="81"/>
      <c r="AK211" s="75"/>
      <c r="AL211" s="75"/>
    </row>
    <row r="212" spans="1:38" ht="15.75" hidden="1" thickBot="1" x14ac:dyDescent="0.3">
      <c r="A212" s="75"/>
      <c r="B212" s="75"/>
      <c r="C212" s="35">
        <f>INDEX(Données!$F$2:$L$54,MATCH(F212,Données!$F$2:$F$54,0),2)</f>
        <v>44067</v>
      </c>
      <c r="D212" s="29" t="str">
        <f t="shared" si="6"/>
        <v>#6</v>
      </c>
      <c r="E212" s="7">
        <f>Données!G36</f>
        <v>44067</v>
      </c>
      <c r="F212" s="6" t="str">
        <f>INDEX(Données!$F$2:$L$54,MATCH('#6'!E212,Données!$G$2:$G$54,1),1)</f>
        <v>35</v>
      </c>
      <c r="G212" s="18" t="str">
        <f t="shared" si="7"/>
        <v>S.O.</v>
      </c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1"/>
      <c r="W212" s="75"/>
      <c r="X212" s="75"/>
      <c r="Y212" s="75"/>
      <c r="Z212" s="96">
        <f>SUM(Tableau17[[#This Row],[A-1]:[G-5]])</f>
        <v>0</v>
      </c>
      <c r="AA212" s="96" t="str">
        <f>IF(AND(Z212&gt;0,Tableau17[[#This Row],[CDS]]=""),"Oui","Non")</f>
        <v>Non</v>
      </c>
      <c r="AB212" s="75"/>
      <c r="AC212" s="75"/>
      <c r="AD212" s="75"/>
      <c r="AE212" s="75"/>
      <c r="AF212" s="75"/>
      <c r="AG212" s="75"/>
      <c r="AH212" s="75"/>
      <c r="AI212" s="75"/>
      <c r="AJ212" s="81"/>
      <c r="AK212" s="75"/>
      <c r="AL212" s="75"/>
    </row>
    <row r="213" spans="1:38" ht="15.75" hidden="1" thickBot="1" x14ac:dyDescent="0.3">
      <c r="A213" s="75"/>
      <c r="B213" s="75"/>
      <c r="C213" s="35">
        <f>INDEX(Données!$F$2:$L$54,MATCH(F213,Données!$F$2:$F$54,0),2)</f>
        <v>44067</v>
      </c>
      <c r="D213" s="29" t="str">
        <f t="shared" si="6"/>
        <v>#6</v>
      </c>
      <c r="E213" s="7">
        <f>Données!H36</f>
        <v>44068</v>
      </c>
      <c r="F213" s="6" t="str">
        <f>INDEX(Données!$F$2:$L$54,MATCH('#6'!E213,Données!$G$2:$G$54,1),1)</f>
        <v>35</v>
      </c>
      <c r="G213" s="18" t="str">
        <f t="shared" si="7"/>
        <v>S.O.</v>
      </c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1"/>
      <c r="W213" s="75"/>
      <c r="X213" s="75"/>
      <c r="Y213" s="75"/>
      <c r="Z213" s="96">
        <f>SUM(Tableau17[[#This Row],[A-1]:[G-5]])</f>
        <v>0</v>
      </c>
      <c r="AA213" s="96" t="str">
        <f>IF(AND(Z213&gt;0,Tableau17[[#This Row],[CDS]]=""),"Oui","Non")</f>
        <v>Non</v>
      </c>
      <c r="AB213" s="75"/>
      <c r="AC213" s="75"/>
      <c r="AD213" s="75"/>
      <c r="AE213" s="75"/>
      <c r="AF213" s="75"/>
      <c r="AG213" s="75"/>
      <c r="AH213" s="75"/>
      <c r="AI213" s="75"/>
      <c r="AJ213" s="81"/>
      <c r="AK213" s="75"/>
      <c r="AL213" s="75"/>
    </row>
    <row r="214" spans="1:38" ht="15.75" hidden="1" thickBot="1" x14ac:dyDescent="0.3">
      <c r="A214" s="75"/>
      <c r="B214" s="75"/>
      <c r="C214" s="35">
        <f>INDEX(Données!$F$2:$L$54,MATCH(F214,Données!$F$2:$F$54,0),2)</f>
        <v>44067</v>
      </c>
      <c r="D214" s="29" t="str">
        <f t="shared" si="6"/>
        <v>#6</v>
      </c>
      <c r="E214" s="7">
        <f>Données!I36</f>
        <v>44069</v>
      </c>
      <c r="F214" s="6" t="str">
        <f>INDEX(Données!$F$2:$L$54,MATCH('#6'!E214,Données!$G$2:$G$54,1),1)</f>
        <v>35</v>
      </c>
      <c r="G214" s="18" t="str">
        <f t="shared" si="7"/>
        <v>S.O.</v>
      </c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1"/>
      <c r="W214" s="75"/>
      <c r="X214" s="75"/>
      <c r="Y214" s="75"/>
      <c r="Z214" s="96">
        <f>SUM(Tableau17[[#This Row],[A-1]:[G-5]])</f>
        <v>0</v>
      </c>
      <c r="AA214" s="96" t="str">
        <f>IF(AND(Z214&gt;0,Tableau17[[#This Row],[CDS]]=""),"Oui","Non")</f>
        <v>Non</v>
      </c>
      <c r="AB214" s="75"/>
      <c r="AC214" s="75"/>
      <c r="AD214" s="75"/>
      <c r="AE214" s="75"/>
      <c r="AF214" s="75"/>
      <c r="AG214" s="75"/>
      <c r="AH214" s="75"/>
      <c r="AI214" s="75"/>
      <c r="AJ214" s="81"/>
      <c r="AK214" s="75"/>
      <c r="AL214" s="75"/>
    </row>
    <row r="215" spans="1:38" ht="15.75" hidden="1" thickBot="1" x14ac:dyDescent="0.3">
      <c r="A215" s="75"/>
      <c r="B215" s="75"/>
      <c r="C215" s="35">
        <f>INDEX(Données!$F$2:$L$54,MATCH(F215,Données!$F$2:$F$54,0),2)</f>
        <v>44067</v>
      </c>
      <c r="D215" s="29" t="str">
        <f t="shared" si="6"/>
        <v>#6</v>
      </c>
      <c r="E215" s="7">
        <f>Données!J36</f>
        <v>44070</v>
      </c>
      <c r="F215" s="6" t="str">
        <f>INDEX(Données!$F$2:$L$54,MATCH('#6'!E215,Données!$G$2:$G$54,1),1)</f>
        <v>35</v>
      </c>
      <c r="G215" s="18" t="str">
        <f t="shared" si="7"/>
        <v>S.O.</v>
      </c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1"/>
      <c r="W215" s="75"/>
      <c r="X215" s="75"/>
      <c r="Y215" s="75"/>
      <c r="Z215" s="96">
        <f>SUM(Tableau17[[#This Row],[A-1]:[G-5]])</f>
        <v>0</v>
      </c>
      <c r="AA215" s="96" t="str">
        <f>IF(AND(Z215&gt;0,Tableau17[[#This Row],[CDS]]=""),"Oui","Non")</f>
        <v>Non</v>
      </c>
      <c r="AB215" s="75"/>
      <c r="AC215" s="75"/>
      <c r="AD215" s="75"/>
      <c r="AE215" s="75"/>
      <c r="AF215" s="75"/>
      <c r="AG215" s="75"/>
      <c r="AH215" s="75"/>
      <c r="AI215" s="75"/>
      <c r="AJ215" s="81"/>
      <c r="AK215" s="75"/>
      <c r="AL215" s="75"/>
    </row>
    <row r="216" spans="1:38" ht="15.75" hidden="1" thickBot="1" x14ac:dyDescent="0.3">
      <c r="A216" s="75"/>
      <c r="B216" s="75"/>
      <c r="C216" s="35">
        <f>INDEX(Données!$F$2:$L$54,MATCH(F216,Données!$F$2:$F$54,0),2)</f>
        <v>44067</v>
      </c>
      <c r="D216" s="29" t="str">
        <f t="shared" si="6"/>
        <v>#6</v>
      </c>
      <c r="E216" s="7">
        <f>Données!K36</f>
        <v>44071</v>
      </c>
      <c r="F216" s="6" t="str">
        <f>INDEX(Données!$F$2:$L$54,MATCH('#6'!E216,Données!$G$2:$G$54,1),1)</f>
        <v>35</v>
      </c>
      <c r="G216" s="18" t="str">
        <f t="shared" si="7"/>
        <v>S.O.</v>
      </c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1"/>
      <c r="W216" s="75"/>
      <c r="X216" s="75"/>
      <c r="Y216" s="75"/>
      <c r="Z216" s="96">
        <f>SUM(Tableau17[[#This Row],[A-1]:[G-5]])</f>
        <v>0</v>
      </c>
      <c r="AA216" s="96" t="str">
        <f>IF(AND(Z216&gt;0,Tableau17[[#This Row],[CDS]]=""),"Oui","Non")</f>
        <v>Non</v>
      </c>
      <c r="AB216" s="75"/>
      <c r="AC216" s="75"/>
      <c r="AD216" s="75"/>
      <c r="AE216" s="75"/>
      <c r="AF216" s="75"/>
      <c r="AG216" s="75"/>
      <c r="AH216" s="75"/>
      <c r="AI216" s="75"/>
      <c r="AJ216" s="81"/>
      <c r="AK216" s="75"/>
      <c r="AL216" s="75"/>
    </row>
    <row r="217" spans="1:38" ht="15.75" hidden="1" thickBot="1" x14ac:dyDescent="0.3">
      <c r="A217" s="75"/>
      <c r="B217" s="75"/>
      <c r="C217" s="35">
        <f>INDEX(Données!$F$2:$L$54,MATCH(F217,Données!$F$2:$F$54,0),2)</f>
        <v>44067</v>
      </c>
      <c r="D217" s="29" t="str">
        <f t="shared" si="6"/>
        <v>#6</v>
      </c>
      <c r="E217" s="7">
        <f>Données!L36</f>
        <v>44072</v>
      </c>
      <c r="F217" s="6" t="str">
        <f>INDEX(Données!$F$2:$L$54,MATCH('#6'!E217,Données!$G$2:$G$54,1),1)</f>
        <v>35</v>
      </c>
      <c r="G217" s="18" t="str">
        <f t="shared" si="7"/>
        <v>S.O.</v>
      </c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1"/>
      <c r="W217" s="75"/>
      <c r="X217" s="75"/>
      <c r="Y217" s="75"/>
      <c r="Z217" s="96">
        <f>SUM(Tableau17[[#This Row],[A-1]:[G-5]])</f>
        <v>0</v>
      </c>
      <c r="AA217" s="96" t="str">
        <f>IF(AND(Z217&gt;0,Tableau17[[#This Row],[CDS]]=""),"Oui","Non")</f>
        <v>Non</v>
      </c>
      <c r="AB217" s="75"/>
      <c r="AC217" s="75"/>
      <c r="AD217" s="75"/>
      <c r="AE217" s="75"/>
      <c r="AF217" s="75"/>
      <c r="AG217" s="75"/>
      <c r="AH217" s="75"/>
      <c r="AI217" s="75"/>
      <c r="AJ217" s="81"/>
      <c r="AK217" s="75"/>
      <c r="AL217" s="75"/>
    </row>
    <row r="218" spans="1:38" ht="15.75" hidden="1" thickBot="1" x14ac:dyDescent="0.3">
      <c r="A218" s="75"/>
      <c r="B218" s="75"/>
      <c r="C218" s="35">
        <f>INDEX(Données!$F$2:$L$54,MATCH(F218,Données!$F$2:$F$54,0),2)</f>
        <v>44074</v>
      </c>
      <c r="D218" s="29" t="str">
        <f t="shared" si="6"/>
        <v>#6</v>
      </c>
      <c r="E218" s="7">
        <f>Données!G37</f>
        <v>44074</v>
      </c>
      <c r="F218" s="6" t="str">
        <f>INDEX(Données!$F$2:$L$54,MATCH('#6'!E218,Données!$G$2:$G$54,1),1)</f>
        <v>36</v>
      </c>
      <c r="G218" s="18" t="str">
        <f t="shared" si="7"/>
        <v>S.O.</v>
      </c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1"/>
      <c r="W218" s="75"/>
      <c r="X218" s="75"/>
      <c r="Y218" s="75"/>
      <c r="Z218" s="96">
        <f>SUM(Tableau17[[#This Row],[A-1]:[G-5]])</f>
        <v>0</v>
      </c>
      <c r="AA218" s="96" t="str">
        <f>IF(AND(Z218&gt;0,Tableau17[[#This Row],[CDS]]=""),"Oui","Non")</f>
        <v>Non</v>
      </c>
      <c r="AB218" s="75"/>
      <c r="AC218" s="75"/>
      <c r="AD218" s="75"/>
      <c r="AE218" s="75"/>
      <c r="AF218" s="75"/>
      <c r="AG218" s="75"/>
      <c r="AH218" s="75"/>
      <c r="AI218" s="75"/>
      <c r="AJ218" s="81"/>
      <c r="AK218" s="75"/>
      <c r="AL218" s="75"/>
    </row>
    <row r="219" spans="1:38" ht="15.75" hidden="1" thickBot="1" x14ac:dyDescent="0.3">
      <c r="A219" s="75"/>
      <c r="B219" s="75"/>
      <c r="C219" s="35">
        <f>INDEX(Données!$F$2:$L$54,MATCH(F219,Données!$F$2:$F$54,0),2)</f>
        <v>44074</v>
      </c>
      <c r="D219" s="29" t="str">
        <f t="shared" si="6"/>
        <v>#6</v>
      </c>
      <c r="E219" s="7">
        <f>Données!H37</f>
        <v>44075</v>
      </c>
      <c r="F219" s="6" t="str">
        <f>INDEX(Données!$F$2:$L$54,MATCH('#6'!E219,Données!$G$2:$G$54,1),1)</f>
        <v>36</v>
      </c>
      <c r="G219" s="18" t="str">
        <f t="shared" si="7"/>
        <v>S.O.</v>
      </c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1"/>
      <c r="W219" s="75"/>
      <c r="X219" s="75"/>
      <c r="Y219" s="75"/>
      <c r="Z219" s="96">
        <f>SUM(Tableau17[[#This Row],[A-1]:[G-5]])</f>
        <v>0</v>
      </c>
      <c r="AA219" s="96" t="str">
        <f>IF(AND(Z219&gt;0,Tableau17[[#This Row],[CDS]]=""),"Oui","Non")</f>
        <v>Non</v>
      </c>
      <c r="AB219" s="75"/>
      <c r="AC219" s="75"/>
      <c r="AD219" s="75"/>
      <c r="AE219" s="75"/>
      <c r="AF219" s="75"/>
      <c r="AG219" s="75"/>
      <c r="AH219" s="75"/>
      <c r="AI219" s="75"/>
      <c r="AJ219" s="81"/>
      <c r="AK219" s="75"/>
      <c r="AL219" s="75"/>
    </row>
    <row r="220" spans="1:38" ht="15.75" hidden="1" thickBot="1" x14ac:dyDescent="0.3">
      <c r="A220" s="75"/>
      <c r="B220" s="75"/>
      <c r="C220" s="35">
        <f>INDEX(Données!$F$2:$L$54,MATCH(F220,Données!$F$2:$F$54,0),2)</f>
        <v>44074</v>
      </c>
      <c r="D220" s="29" t="str">
        <f t="shared" si="6"/>
        <v>#6</v>
      </c>
      <c r="E220" s="7">
        <f>Données!I37</f>
        <v>44076</v>
      </c>
      <c r="F220" s="6" t="str">
        <f>INDEX(Données!$F$2:$L$54,MATCH('#6'!E220,Données!$G$2:$G$54,1),1)</f>
        <v>36</v>
      </c>
      <c r="G220" s="18" t="str">
        <f t="shared" si="7"/>
        <v>S.O.</v>
      </c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1"/>
      <c r="W220" s="75"/>
      <c r="X220" s="75"/>
      <c r="Y220" s="75"/>
      <c r="Z220" s="96">
        <f>SUM(Tableau17[[#This Row],[A-1]:[G-5]])</f>
        <v>0</v>
      </c>
      <c r="AA220" s="96" t="str">
        <f>IF(AND(Z220&gt;0,Tableau17[[#This Row],[CDS]]=""),"Oui","Non")</f>
        <v>Non</v>
      </c>
      <c r="AB220" s="75"/>
      <c r="AC220" s="75"/>
      <c r="AD220" s="75"/>
      <c r="AE220" s="75"/>
      <c r="AF220" s="75"/>
      <c r="AG220" s="75"/>
      <c r="AH220" s="75"/>
      <c r="AI220" s="75"/>
      <c r="AJ220" s="81"/>
      <c r="AK220" s="75"/>
      <c r="AL220" s="75"/>
    </row>
    <row r="221" spans="1:38" ht="15.75" hidden="1" thickBot="1" x14ac:dyDescent="0.3">
      <c r="A221" s="75"/>
      <c r="B221" s="75"/>
      <c r="C221" s="35">
        <f>INDEX(Données!$F$2:$L$54,MATCH(F221,Données!$F$2:$F$54,0),2)</f>
        <v>44074</v>
      </c>
      <c r="D221" s="29" t="str">
        <f t="shared" si="6"/>
        <v>#6</v>
      </c>
      <c r="E221" s="7">
        <f>Données!J37</f>
        <v>44077</v>
      </c>
      <c r="F221" s="6" t="str">
        <f>INDEX(Données!$F$2:$L$54,MATCH('#6'!E221,Données!$G$2:$G$54,1),1)</f>
        <v>36</v>
      </c>
      <c r="G221" s="18" t="str">
        <f t="shared" si="7"/>
        <v>S.O.</v>
      </c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1"/>
      <c r="W221" s="75"/>
      <c r="X221" s="75"/>
      <c r="Y221" s="75"/>
      <c r="Z221" s="96">
        <f>SUM(Tableau17[[#This Row],[A-1]:[G-5]])</f>
        <v>0</v>
      </c>
      <c r="AA221" s="96" t="str">
        <f>IF(AND(Z221&gt;0,Tableau17[[#This Row],[CDS]]=""),"Oui","Non")</f>
        <v>Non</v>
      </c>
      <c r="AB221" s="75"/>
      <c r="AC221" s="75"/>
      <c r="AD221" s="75"/>
      <c r="AE221" s="75"/>
      <c r="AF221" s="75"/>
      <c r="AG221" s="75"/>
      <c r="AH221" s="75"/>
      <c r="AI221" s="75"/>
      <c r="AJ221" s="81"/>
      <c r="AK221" s="75"/>
      <c r="AL221" s="75"/>
    </row>
    <row r="222" spans="1:38" ht="15.75" hidden="1" thickBot="1" x14ac:dyDescent="0.3">
      <c r="A222" s="75"/>
      <c r="B222" s="75"/>
      <c r="C222" s="35">
        <f>INDEX(Données!$F$2:$L$54,MATCH(F222,Données!$F$2:$F$54,0),2)</f>
        <v>44074</v>
      </c>
      <c r="D222" s="29" t="str">
        <f t="shared" si="6"/>
        <v>#6</v>
      </c>
      <c r="E222" s="7">
        <f>Données!K37</f>
        <v>44078</v>
      </c>
      <c r="F222" s="6" t="str">
        <f>INDEX(Données!$F$2:$L$54,MATCH('#6'!E222,Données!$G$2:$G$54,1),1)</f>
        <v>36</v>
      </c>
      <c r="G222" s="18" t="str">
        <f t="shared" si="7"/>
        <v>S.O.</v>
      </c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1"/>
      <c r="W222" s="75"/>
      <c r="X222" s="75"/>
      <c r="Y222" s="75"/>
      <c r="Z222" s="96">
        <f>SUM(Tableau17[[#This Row],[A-1]:[G-5]])</f>
        <v>0</v>
      </c>
      <c r="AA222" s="96" t="str">
        <f>IF(AND(Z222&gt;0,Tableau17[[#This Row],[CDS]]=""),"Oui","Non")</f>
        <v>Non</v>
      </c>
      <c r="AB222" s="75"/>
      <c r="AC222" s="75"/>
      <c r="AD222" s="75"/>
      <c r="AE222" s="75"/>
      <c r="AF222" s="75"/>
      <c r="AG222" s="75"/>
      <c r="AH222" s="75"/>
      <c r="AI222" s="75"/>
      <c r="AJ222" s="81"/>
      <c r="AK222" s="75"/>
      <c r="AL222" s="75"/>
    </row>
    <row r="223" spans="1:38" ht="15.75" hidden="1" thickBot="1" x14ac:dyDescent="0.3">
      <c r="A223" s="75"/>
      <c r="B223" s="75"/>
      <c r="C223" s="35">
        <f>INDEX(Données!$F$2:$L$54,MATCH(F223,Données!$F$2:$F$54,0),2)</f>
        <v>44074</v>
      </c>
      <c r="D223" s="29" t="str">
        <f t="shared" si="6"/>
        <v>#6</v>
      </c>
      <c r="E223" s="7">
        <f>Données!L37</f>
        <v>44079</v>
      </c>
      <c r="F223" s="6" t="str">
        <f>INDEX(Données!$F$2:$L$54,MATCH('#6'!E223,Données!$G$2:$G$54,1),1)</f>
        <v>36</v>
      </c>
      <c r="G223" s="18" t="str">
        <f t="shared" si="7"/>
        <v>S.O.</v>
      </c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1"/>
      <c r="W223" s="75"/>
      <c r="X223" s="75"/>
      <c r="Y223" s="75"/>
      <c r="Z223" s="96">
        <f>SUM(Tableau17[[#This Row],[A-1]:[G-5]])</f>
        <v>0</v>
      </c>
      <c r="AA223" s="96" t="str">
        <f>IF(AND(Z223&gt;0,Tableau17[[#This Row],[CDS]]=""),"Oui","Non")</f>
        <v>Non</v>
      </c>
      <c r="AB223" s="75"/>
      <c r="AC223" s="75"/>
      <c r="AD223" s="75"/>
      <c r="AE223" s="75"/>
      <c r="AF223" s="75"/>
      <c r="AG223" s="75"/>
      <c r="AH223" s="75"/>
      <c r="AI223" s="75"/>
      <c r="AJ223" s="81"/>
      <c r="AK223" s="75"/>
      <c r="AL223" s="75"/>
    </row>
    <row r="224" spans="1:38" ht="15.75" hidden="1" thickBot="1" x14ac:dyDescent="0.3">
      <c r="A224" s="75"/>
      <c r="B224" s="75"/>
      <c r="C224" s="35">
        <f>INDEX(Données!$F$2:$L$54,MATCH(F224,Données!$F$2:$F$54,0),2)</f>
        <v>44081</v>
      </c>
      <c r="D224" s="29" t="str">
        <f t="shared" si="6"/>
        <v>#6</v>
      </c>
      <c r="E224" s="7">
        <f>Données!G38</f>
        <v>44081</v>
      </c>
      <c r="F224" s="6" t="str">
        <f>INDEX(Données!$F$2:$L$54,MATCH('#6'!E224,Données!$G$2:$G$54,1),1)</f>
        <v>37</v>
      </c>
      <c r="G224" s="18" t="str">
        <f t="shared" si="7"/>
        <v>S.O.</v>
      </c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1"/>
      <c r="W224" s="75"/>
      <c r="X224" s="75"/>
      <c r="Y224" s="75"/>
      <c r="Z224" s="96">
        <f>SUM(Tableau17[[#This Row],[A-1]:[G-5]])</f>
        <v>0</v>
      </c>
      <c r="AA224" s="96" t="str">
        <f>IF(AND(Z224&gt;0,Tableau17[[#This Row],[CDS]]=""),"Oui","Non")</f>
        <v>Non</v>
      </c>
      <c r="AB224" s="75"/>
      <c r="AC224" s="75"/>
      <c r="AD224" s="75"/>
      <c r="AE224" s="75"/>
      <c r="AF224" s="75"/>
      <c r="AG224" s="75"/>
      <c r="AH224" s="75"/>
      <c r="AI224" s="75"/>
      <c r="AJ224" s="81"/>
      <c r="AK224" s="75"/>
      <c r="AL224" s="75"/>
    </row>
    <row r="225" spans="1:38" ht="15.75" hidden="1" thickBot="1" x14ac:dyDescent="0.3">
      <c r="A225" s="75"/>
      <c r="B225" s="75"/>
      <c r="C225" s="35">
        <f>INDEX(Données!$F$2:$L$54,MATCH(F225,Données!$F$2:$F$54,0),2)</f>
        <v>44081</v>
      </c>
      <c r="D225" s="29" t="str">
        <f t="shared" si="6"/>
        <v>#6</v>
      </c>
      <c r="E225" s="7">
        <f>Données!H38</f>
        <v>44082</v>
      </c>
      <c r="F225" s="6" t="str">
        <f>INDEX(Données!$F$2:$L$54,MATCH('#6'!E225,Données!$G$2:$G$54,1),1)</f>
        <v>37</v>
      </c>
      <c r="G225" s="18" t="str">
        <f t="shared" si="7"/>
        <v>S.O.</v>
      </c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1"/>
      <c r="W225" s="75"/>
      <c r="X225" s="75"/>
      <c r="Y225" s="75"/>
      <c r="Z225" s="96">
        <f>SUM(Tableau17[[#This Row],[A-1]:[G-5]])</f>
        <v>0</v>
      </c>
      <c r="AA225" s="96" t="str">
        <f>IF(AND(Z225&gt;0,Tableau17[[#This Row],[CDS]]=""),"Oui","Non")</f>
        <v>Non</v>
      </c>
      <c r="AB225" s="75"/>
      <c r="AC225" s="75"/>
      <c r="AD225" s="75"/>
      <c r="AE225" s="75"/>
      <c r="AF225" s="75"/>
      <c r="AG225" s="75"/>
      <c r="AH225" s="75"/>
      <c r="AI225" s="75"/>
      <c r="AJ225" s="81"/>
      <c r="AK225" s="75"/>
      <c r="AL225" s="75"/>
    </row>
    <row r="226" spans="1:38" ht="15.75" hidden="1" thickBot="1" x14ac:dyDescent="0.3">
      <c r="A226" s="75"/>
      <c r="B226" s="75"/>
      <c r="C226" s="35">
        <f>INDEX(Données!$F$2:$L$54,MATCH(F226,Données!$F$2:$F$54,0),2)</f>
        <v>44081</v>
      </c>
      <c r="D226" s="29" t="str">
        <f t="shared" si="6"/>
        <v>#6</v>
      </c>
      <c r="E226" s="7">
        <f>Données!I38</f>
        <v>44083</v>
      </c>
      <c r="F226" s="6" t="str">
        <f>INDEX(Données!$F$2:$L$54,MATCH('#6'!E226,Données!$G$2:$G$54,1),1)</f>
        <v>37</v>
      </c>
      <c r="G226" s="18" t="str">
        <f t="shared" si="7"/>
        <v>S.O.</v>
      </c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1"/>
      <c r="W226" s="75"/>
      <c r="X226" s="75"/>
      <c r="Y226" s="75"/>
      <c r="Z226" s="96">
        <f>SUM(Tableau17[[#This Row],[A-1]:[G-5]])</f>
        <v>0</v>
      </c>
      <c r="AA226" s="96" t="str">
        <f>IF(AND(Z226&gt;0,Tableau17[[#This Row],[CDS]]=""),"Oui","Non")</f>
        <v>Non</v>
      </c>
      <c r="AB226" s="75"/>
      <c r="AC226" s="75"/>
      <c r="AD226" s="75"/>
      <c r="AE226" s="75"/>
      <c r="AF226" s="75"/>
      <c r="AG226" s="75"/>
      <c r="AH226" s="75"/>
      <c r="AI226" s="75"/>
      <c r="AJ226" s="81"/>
      <c r="AK226" s="75"/>
      <c r="AL226" s="75"/>
    </row>
    <row r="227" spans="1:38" ht="15.75" hidden="1" thickBot="1" x14ac:dyDescent="0.3">
      <c r="A227" s="75"/>
      <c r="B227" s="75"/>
      <c r="C227" s="35">
        <f>INDEX(Données!$F$2:$L$54,MATCH(F227,Données!$F$2:$F$54,0),2)</f>
        <v>44081</v>
      </c>
      <c r="D227" s="29" t="str">
        <f t="shared" si="6"/>
        <v>#6</v>
      </c>
      <c r="E227" s="7">
        <f>Données!J38</f>
        <v>44084</v>
      </c>
      <c r="F227" s="6" t="str">
        <f>INDEX(Données!$F$2:$L$54,MATCH('#6'!E227,Données!$G$2:$G$54,1),1)</f>
        <v>37</v>
      </c>
      <c r="G227" s="18" t="str">
        <f t="shared" si="7"/>
        <v>S.O.</v>
      </c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1"/>
      <c r="W227" s="75"/>
      <c r="X227" s="75"/>
      <c r="Y227" s="75"/>
      <c r="Z227" s="96">
        <f>SUM(Tableau17[[#This Row],[A-1]:[G-5]])</f>
        <v>0</v>
      </c>
      <c r="AA227" s="96" t="str">
        <f>IF(AND(Z227&gt;0,Tableau17[[#This Row],[CDS]]=""),"Oui","Non")</f>
        <v>Non</v>
      </c>
      <c r="AB227" s="75"/>
      <c r="AC227" s="75"/>
      <c r="AD227" s="75"/>
      <c r="AE227" s="75"/>
      <c r="AF227" s="75"/>
      <c r="AG227" s="75"/>
      <c r="AH227" s="75"/>
      <c r="AI227" s="75"/>
      <c r="AJ227" s="81"/>
      <c r="AK227" s="75"/>
      <c r="AL227" s="75"/>
    </row>
    <row r="228" spans="1:38" ht="15.75" hidden="1" thickBot="1" x14ac:dyDescent="0.3">
      <c r="A228" s="75"/>
      <c r="B228" s="75"/>
      <c r="C228" s="35">
        <f>INDEX(Données!$F$2:$L$54,MATCH(F228,Données!$F$2:$F$54,0),2)</f>
        <v>44081</v>
      </c>
      <c r="D228" s="29" t="str">
        <f t="shared" si="6"/>
        <v>#6</v>
      </c>
      <c r="E228" s="7">
        <f>Données!K38</f>
        <v>44085</v>
      </c>
      <c r="F228" s="6" t="str">
        <f>INDEX(Données!$F$2:$L$54,MATCH('#6'!E228,Données!$G$2:$G$54,1),1)</f>
        <v>37</v>
      </c>
      <c r="G228" s="18" t="str">
        <f t="shared" si="7"/>
        <v>S.O.</v>
      </c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1"/>
      <c r="W228" s="75"/>
      <c r="X228" s="75"/>
      <c r="Y228" s="75"/>
      <c r="Z228" s="96">
        <f>SUM(Tableau17[[#This Row],[A-1]:[G-5]])</f>
        <v>0</v>
      </c>
      <c r="AA228" s="96" t="str">
        <f>IF(AND(Z228&gt;0,Tableau17[[#This Row],[CDS]]=""),"Oui","Non")</f>
        <v>Non</v>
      </c>
      <c r="AB228" s="75"/>
      <c r="AC228" s="75"/>
      <c r="AD228" s="75"/>
      <c r="AE228" s="75"/>
      <c r="AF228" s="75"/>
      <c r="AG228" s="75"/>
      <c r="AH228" s="75"/>
      <c r="AI228" s="75"/>
      <c r="AJ228" s="81"/>
      <c r="AK228" s="75"/>
      <c r="AL228" s="75"/>
    </row>
    <row r="229" spans="1:38" ht="15.75" hidden="1" thickBot="1" x14ac:dyDescent="0.3">
      <c r="A229" s="75"/>
      <c r="B229" s="75"/>
      <c r="C229" s="35">
        <f>INDEX(Données!$F$2:$L$54,MATCH(F229,Données!$F$2:$F$54,0),2)</f>
        <v>44081</v>
      </c>
      <c r="D229" s="29" t="str">
        <f t="shared" si="6"/>
        <v>#6</v>
      </c>
      <c r="E229" s="7">
        <f>Données!L38</f>
        <v>44086</v>
      </c>
      <c r="F229" s="6" t="str">
        <f>INDEX(Données!$F$2:$L$54,MATCH('#6'!E229,Données!$G$2:$G$54,1),1)</f>
        <v>37</v>
      </c>
      <c r="G229" s="18" t="str">
        <f t="shared" si="7"/>
        <v>S.O.</v>
      </c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1"/>
      <c r="W229" s="75"/>
      <c r="X229" s="75"/>
      <c r="Y229" s="75"/>
      <c r="Z229" s="96">
        <f>SUM(Tableau17[[#This Row],[A-1]:[G-5]])</f>
        <v>0</v>
      </c>
      <c r="AA229" s="96" t="str">
        <f>IF(AND(Z229&gt;0,Tableau17[[#This Row],[CDS]]=""),"Oui","Non")</f>
        <v>Non</v>
      </c>
      <c r="AB229" s="75"/>
      <c r="AC229" s="75"/>
      <c r="AD229" s="75"/>
      <c r="AE229" s="75"/>
      <c r="AF229" s="75"/>
      <c r="AG229" s="75"/>
      <c r="AH229" s="75"/>
      <c r="AI229" s="75"/>
      <c r="AJ229" s="81"/>
      <c r="AK229" s="75"/>
      <c r="AL229" s="75"/>
    </row>
    <row r="230" spans="1:38" ht="15.75" hidden="1" thickBot="1" x14ac:dyDescent="0.3">
      <c r="A230" s="75"/>
      <c r="B230" s="75"/>
      <c r="C230" s="35">
        <f>INDEX(Données!$F$2:$L$54,MATCH(F230,Données!$F$2:$F$54,0),2)</f>
        <v>44088</v>
      </c>
      <c r="D230" s="29" t="str">
        <f t="shared" si="6"/>
        <v>#6</v>
      </c>
      <c r="E230" s="7">
        <f>Données!G39</f>
        <v>44088</v>
      </c>
      <c r="F230" s="6" t="str">
        <f>INDEX(Données!$F$2:$L$54,MATCH('#6'!E230,Données!$G$2:$G$54,1),1)</f>
        <v>38</v>
      </c>
      <c r="G230" s="18" t="str">
        <f t="shared" si="7"/>
        <v>S.O.</v>
      </c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1"/>
      <c r="W230" s="75"/>
      <c r="X230" s="75"/>
      <c r="Y230" s="75"/>
      <c r="Z230" s="96">
        <f>SUM(Tableau17[[#This Row],[A-1]:[G-5]])</f>
        <v>0</v>
      </c>
      <c r="AA230" s="96" t="str">
        <f>IF(AND(Z230&gt;0,Tableau17[[#This Row],[CDS]]=""),"Oui","Non")</f>
        <v>Non</v>
      </c>
      <c r="AB230" s="75"/>
      <c r="AC230" s="75"/>
      <c r="AD230" s="75"/>
      <c r="AE230" s="75"/>
      <c r="AF230" s="75"/>
      <c r="AG230" s="75"/>
      <c r="AH230" s="75"/>
      <c r="AI230" s="75"/>
      <c r="AJ230" s="81"/>
      <c r="AK230" s="75"/>
      <c r="AL230" s="75"/>
    </row>
    <row r="231" spans="1:38" ht="15.75" hidden="1" thickBot="1" x14ac:dyDescent="0.3">
      <c r="A231" s="75"/>
      <c r="B231" s="75"/>
      <c r="C231" s="35">
        <f>INDEX(Données!$F$2:$L$54,MATCH(F231,Données!$F$2:$F$54,0),2)</f>
        <v>44088</v>
      </c>
      <c r="D231" s="29" t="str">
        <f t="shared" si="6"/>
        <v>#6</v>
      </c>
      <c r="E231" s="7">
        <f>Données!H39</f>
        <v>44089</v>
      </c>
      <c r="F231" s="6" t="str">
        <f>INDEX(Données!$F$2:$L$54,MATCH('#6'!E231,Données!$G$2:$G$54,1),1)</f>
        <v>38</v>
      </c>
      <c r="G231" s="18" t="str">
        <f t="shared" si="7"/>
        <v>S.O.</v>
      </c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1"/>
      <c r="W231" s="75"/>
      <c r="X231" s="75"/>
      <c r="Y231" s="75"/>
      <c r="Z231" s="96">
        <f>SUM(Tableau17[[#This Row],[A-1]:[G-5]])</f>
        <v>0</v>
      </c>
      <c r="AA231" s="96" t="str">
        <f>IF(AND(Z231&gt;0,Tableau17[[#This Row],[CDS]]=""),"Oui","Non")</f>
        <v>Non</v>
      </c>
      <c r="AB231" s="75"/>
      <c r="AC231" s="75"/>
      <c r="AD231" s="75"/>
      <c r="AE231" s="75"/>
      <c r="AF231" s="75"/>
      <c r="AG231" s="75"/>
      <c r="AH231" s="75"/>
      <c r="AI231" s="75"/>
      <c r="AJ231" s="81"/>
      <c r="AK231" s="75"/>
      <c r="AL231" s="75"/>
    </row>
    <row r="232" spans="1:38" ht="15.75" hidden="1" thickBot="1" x14ac:dyDescent="0.3">
      <c r="A232" s="75"/>
      <c r="B232" s="75"/>
      <c r="C232" s="35">
        <f>INDEX(Données!$F$2:$L$54,MATCH(F232,Données!$F$2:$F$54,0),2)</f>
        <v>44088</v>
      </c>
      <c r="D232" s="29" t="str">
        <f t="shared" si="6"/>
        <v>#6</v>
      </c>
      <c r="E232" s="7">
        <f>Données!I39</f>
        <v>44090</v>
      </c>
      <c r="F232" s="6" t="str">
        <f>INDEX(Données!$F$2:$L$54,MATCH('#6'!E232,Données!$G$2:$G$54,1),1)</f>
        <v>38</v>
      </c>
      <c r="G232" s="18" t="str">
        <f t="shared" si="7"/>
        <v>S.O.</v>
      </c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1"/>
      <c r="W232" s="75"/>
      <c r="X232" s="75"/>
      <c r="Y232" s="75"/>
      <c r="Z232" s="96">
        <f>SUM(Tableau17[[#This Row],[A-1]:[G-5]])</f>
        <v>0</v>
      </c>
      <c r="AA232" s="96" t="str">
        <f>IF(AND(Z232&gt;0,Tableau17[[#This Row],[CDS]]=""),"Oui","Non")</f>
        <v>Non</v>
      </c>
      <c r="AB232" s="75"/>
      <c r="AC232" s="75"/>
      <c r="AD232" s="75"/>
      <c r="AE232" s="75"/>
      <c r="AF232" s="75"/>
      <c r="AG232" s="75"/>
      <c r="AH232" s="75"/>
      <c r="AI232" s="75"/>
      <c r="AJ232" s="81"/>
      <c r="AK232" s="75"/>
      <c r="AL232" s="75"/>
    </row>
    <row r="233" spans="1:38" ht="15.75" hidden="1" thickBot="1" x14ac:dyDescent="0.3">
      <c r="A233" s="75"/>
      <c r="B233" s="75"/>
      <c r="C233" s="35">
        <f>INDEX(Données!$F$2:$L$54,MATCH(F233,Données!$F$2:$F$54,0),2)</f>
        <v>44088</v>
      </c>
      <c r="D233" s="29" t="str">
        <f t="shared" si="6"/>
        <v>#6</v>
      </c>
      <c r="E233" s="7">
        <f>Données!J39</f>
        <v>44091</v>
      </c>
      <c r="F233" s="6" t="str">
        <f>INDEX(Données!$F$2:$L$54,MATCH('#6'!E233,Données!$G$2:$G$54,1),1)</f>
        <v>38</v>
      </c>
      <c r="G233" s="18" t="str">
        <f t="shared" si="7"/>
        <v>S.O.</v>
      </c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1"/>
      <c r="W233" s="75"/>
      <c r="X233" s="75"/>
      <c r="Y233" s="75"/>
      <c r="Z233" s="96">
        <f>SUM(Tableau17[[#This Row],[A-1]:[G-5]])</f>
        <v>0</v>
      </c>
      <c r="AA233" s="96" t="str">
        <f>IF(AND(Z233&gt;0,Tableau17[[#This Row],[CDS]]=""),"Oui","Non")</f>
        <v>Non</v>
      </c>
      <c r="AB233" s="75"/>
      <c r="AC233" s="75"/>
      <c r="AD233" s="75"/>
      <c r="AE233" s="75"/>
      <c r="AF233" s="75"/>
      <c r="AG233" s="75"/>
      <c r="AH233" s="75"/>
      <c r="AI233" s="75"/>
      <c r="AJ233" s="81"/>
      <c r="AK233" s="75"/>
      <c r="AL233" s="75"/>
    </row>
    <row r="234" spans="1:38" ht="15.75" hidden="1" thickBot="1" x14ac:dyDescent="0.3">
      <c r="A234" s="75"/>
      <c r="B234" s="75"/>
      <c r="C234" s="35">
        <f>INDEX(Données!$F$2:$L$54,MATCH(F234,Données!$F$2:$F$54,0),2)</f>
        <v>44088</v>
      </c>
      <c r="D234" s="29" t="str">
        <f t="shared" si="6"/>
        <v>#6</v>
      </c>
      <c r="E234" s="7">
        <f>Données!K39</f>
        <v>44092</v>
      </c>
      <c r="F234" s="6" t="str">
        <f>INDEX(Données!$F$2:$L$54,MATCH('#6'!E234,Données!$G$2:$G$54,1),1)</f>
        <v>38</v>
      </c>
      <c r="G234" s="18" t="str">
        <f t="shared" si="7"/>
        <v>S.O.</v>
      </c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1"/>
      <c r="W234" s="75"/>
      <c r="X234" s="75"/>
      <c r="Y234" s="75"/>
      <c r="Z234" s="96">
        <f>SUM(Tableau17[[#This Row],[A-1]:[G-5]])</f>
        <v>0</v>
      </c>
      <c r="AA234" s="96" t="str">
        <f>IF(AND(Z234&gt;0,Tableau17[[#This Row],[CDS]]=""),"Oui","Non")</f>
        <v>Non</v>
      </c>
      <c r="AB234" s="75"/>
      <c r="AC234" s="75"/>
      <c r="AD234" s="75"/>
      <c r="AE234" s="75"/>
      <c r="AF234" s="75"/>
      <c r="AG234" s="75"/>
      <c r="AH234" s="75"/>
      <c r="AI234" s="75"/>
      <c r="AJ234" s="81"/>
      <c r="AK234" s="75"/>
      <c r="AL234" s="75"/>
    </row>
    <row r="235" spans="1:38" ht="15.75" hidden="1" thickBot="1" x14ac:dyDescent="0.3">
      <c r="A235" s="75"/>
      <c r="B235" s="75"/>
      <c r="C235" s="35">
        <f>INDEX(Données!$F$2:$L$54,MATCH(F235,Données!$F$2:$F$54,0),2)</f>
        <v>44088</v>
      </c>
      <c r="D235" s="29" t="str">
        <f t="shared" si="6"/>
        <v>#6</v>
      </c>
      <c r="E235" s="7">
        <f>Données!L39</f>
        <v>44093</v>
      </c>
      <c r="F235" s="6" t="str">
        <f>INDEX(Données!$F$2:$L$54,MATCH('#6'!E235,Données!$G$2:$G$54,1),1)</f>
        <v>38</v>
      </c>
      <c r="G235" s="18" t="str">
        <f t="shared" si="7"/>
        <v>S.O.</v>
      </c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1"/>
      <c r="W235" s="75"/>
      <c r="X235" s="75"/>
      <c r="Y235" s="75"/>
      <c r="Z235" s="96">
        <f>SUM(Tableau17[[#This Row],[A-1]:[G-5]])</f>
        <v>0</v>
      </c>
      <c r="AA235" s="96" t="str">
        <f>IF(AND(Z235&gt;0,Tableau17[[#This Row],[CDS]]=""),"Oui","Non")</f>
        <v>Non</v>
      </c>
      <c r="AB235" s="75"/>
      <c r="AC235" s="75"/>
      <c r="AD235" s="75"/>
      <c r="AE235" s="75"/>
      <c r="AF235" s="75"/>
      <c r="AG235" s="75"/>
      <c r="AH235" s="75"/>
      <c r="AI235" s="75"/>
      <c r="AJ235" s="81"/>
      <c r="AK235" s="75"/>
      <c r="AL235" s="75"/>
    </row>
    <row r="236" spans="1:38" ht="15.75" hidden="1" thickBot="1" x14ac:dyDescent="0.3">
      <c r="A236" s="75"/>
      <c r="B236" s="75"/>
      <c r="C236" s="35">
        <f>INDEX(Données!$F$2:$L$54,MATCH(F236,Données!$F$2:$F$54,0),2)</f>
        <v>44095</v>
      </c>
      <c r="D236" s="29" t="str">
        <f t="shared" si="6"/>
        <v>#6</v>
      </c>
      <c r="E236" s="7">
        <f>Données!G40</f>
        <v>44095</v>
      </c>
      <c r="F236" s="6" t="str">
        <f>INDEX(Données!$F$2:$L$54,MATCH('#6'!E236,Données!$G$2:$G$54,1),1)</f>
        <v>39</v>
      </c>
      <c r="G236" s="18" t="str">
        <f t="shared" si="7"/>
        <v>S.O.</v>
      </c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1"/>
      <c r="W236" s="75"/>
      <c r="X236" s="75"/>
      <c r="Y236" s="75"/>
      <c r="Z236" s="96">
        <f>SUM(Tableau17[[#This Row],[A-1]:[G-5]])</f>
        <v>0</v>
      </c>
      <c r="AA236" s="96" t="str">
        <f>IF(AND(Z236&gt;0,Tableau17[[#This Row],[CDS]]=""),"Oui","Non")</f>
        <v>Non</v>
      </c>
      <c r="AB236" s="75"/>
      <c r="AC236" s="75"/>
      <c r="AD236" s="75"/>
      <c r="AE236" s="75"/>
      <c r="AF236" s="75"/>
      <c r="AG236" s="75"/>
      <c r="AH236" s="75"/>
      <c r="AI236" s="75"/>
      <c r="AJ236" s="81"/>
      <c r="AK236" s="75"/>
      <c r="AL236" s="75"/>
    </row>
    <row r="237" spans="1:38" ht="15.75" hidden="1" thickBot="1" x14ac:dyDescent="0.3">
      <c r="A237" s="75"/>
      <c r="B237" s="75"/>
      <c r="C237" s="35">
        <f>INDEX(Données!$F$2:$L$54,MATCH(F237,Données!$F$2:$F$54,0),2)</f>
        <v>44095</v>
      </c>
      <c r="D237" s="29" t="str">
        <f t="shared" si="6"/>
        <v>#6</v>
      </c>
      <c r="E237" s="7">
        <f>Données!H40</f>
        <v>44096</v>
      </c>
      <c r="F237" s="6" t="str">
        <f>INDEX(Données!$F$2:$L$54,MATCH('#6'!E237,Données!$G$2:$G$54,1),1)</f>
        <v>39</v>
      </c>
      <c r="G237" s="18" t="str">
        <f t="shared" si="7"/>
        <v>S.O.</v>
      </c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1"/>
      <c r="W237" s="75"/>
      <c r="X237" s="75"/>
      <c r="Y237" s="75"/>
      <c r="Z237" s="96">
        <f>SUM(Tableau17[[#This Row],[A-1]:[G-5]])</f>
        <v>0</v>
      </c>
      <c r="AA237" s="96" t="str">
        <f>IF(AND(Z237&gt;0,Tableau17[[#This Row],[CDS]]=""),"Oui","Non")</f>
        <v>Non</v>
      </c>
      <c r="AB237" s="75"/>
      <c r="AC237" s="75"/>
      <c r="AD237" s="75"/>
      <c r="AE237" s="75"/>
      <c r="AF237" s="75"/>
      <c r="AG237" s="75"/>
      <c r="AH237" s="75"/>
      <c r="AI237" s="75"/>
      <c r="AJ237" s="81"/>
      <c r="AK237" s="75"/>
      <c r="AL237" s="75"/>
    </row>
    <row r="238" spans="1:38" ht="15.75" hidden="1" thickBot="1" x14ac:dyDescent="0.3">
      <c r="A238" s="75"/>
      <c r="B238" s="75"/>
      <c r="C238" s="35">
        <f>INDEX(Données!$F$2:$L$54,MATCH(F238,Données!$F$2:$F$54,0),2)</f>
        <v>44095</v>
      </c>
      <c r="D238" s="29" t="str">
        <f t="shared" si="6"/>
        <v>#6</v>
      </c>
      <c r="E238" s="7">
        <f>Données!I40</f>
        <v>44097</v>
      </c>
      <c r="F238" s="6" t="str">
        <f>INDEX(Données!$F$2:$L$54,MATCH('#6'!E238,Données!$G$2:$G$54,1),1)</f>
        <v>39</v>
      </c>
      <c r="G238" s="18" t="str">
        <f t="shared" si="7"/>
        <v>S.O.</v>
      </c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1"/>
      <c r="W238" s="75"/>
      <c r="X238" s="75"/>
      <c r="Y238" s="75"/>
      <c r="Z238" s="96">
        <f>SUM(Tableau17[[#This Row],[A-1]:[G-5]])</f>
        <v>0</v>
      </c>
      <c r="AA238" s="96" t="str">
        <f>IF(AND(Z238&gt;0,Tableau17[[#This Row],[CDS]]=""),"Oui","Non")</f>
        <v>Non</v>
      </c>
      <c r="AB238" s="75"/>
      <c r="AC238" s="75"/>
      <c r="AD238" s="75"/>
      <c r="AE238" s="75"/>
      <c r="AF238" s="75"/>
      <c r="AG238" s="75"/>
      <c r="AH238" s="75"/>
      <c r="AI238" s="75"/>
      <c r="AJ238" s="81"/>
      <c r="AK238" s="75"/>
      <c r="AL238" s="75"/>
    </row>
    <row r="239" spans="1:38" ht="15.75" hidden="1" thickBot="1" x14ac:dyDescent="0.3">
      <c r="A239" s="75"/>
      <c r="B239" s="75"/>
      <c r="C239" s="35">
        <f>INDEX(Données!$F$2:$L$54,MATCH(F239,Données!$F$2:$F$54,0),2)</f>
        <v>44095</v>
      </c>
      <c r="D239" s="29" t="str">
        <f t="shared" si="6"/>
        <v>#6</v>
      </c>
      <c r="E239" s="7">
        <f>Données!J40</f>
        <v>44098</v>
      </c>
      <c r="F239" s="6" t="str">
        <f>INDEX(Données!$F$2:$L$54,MATCH('#6'!E239,Données!$G$2:$G$54,1),1)</f>
        <v>39</v>
      </c>
      <c r="G239" s="18" t="str">
        <f t="shared" si="7"/>
        <v>S.O.</v>
      </c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1"/>
      <c r="W239" s="75"/>
      <c r="X239" s="75"/>
      <c r="Y239" s="75"/>
      <c r="Z239" s="96">
        <f>SUM(Tableau17[[#This Row],[A-1]:[G-5]])</f>
        <v>0</v>
      </c>
      <c r="AA239" s="96" t="str">
        <f>IF(AND(Z239&gt;0,Tableau17[[#This Row],[CDS]]=""),"Oui","Non")</f>
        <v>Non</v>
      </c>
      <c r="AB239" s="75"/>
      <c r="AC239" s="75"/>
      <c r="AD239" s="75"/>
      <c r="AE239" s="75"/>
      <c r="AF239" s="75"/>
      <c r="AG239" s="75"/>
      <c r="AH239" s="75"/>
      <c r="AI239" s="75"/>
      <c r="AJ239" s="81"/>
      <c r="AK239" s="75"/>
      <c r="AL239" s="75"/>
    </row>
    <row r="240" spans="1:38" ht="15.75" hidden="1" thickBot="1" x14ac:dyDescent="0.3">
      <c r="A240" s="75"/>
      <c r="B240" s="75"/>
      <c r="C240" s="35">
        <f>INDEX(Données!$F$2:$L$54,MATCH(F240,Données!$F$2:$F$54,0),2)</f>
        <v>44095</v>
      </c>
      <c r="D240" s="29" t="str">
        <f t="shared" si="6"/>
        <v>#6</v>
      </c>
      <c r="E240" s="7">
        <f>Données!K40</f>
        <v>44099</v>
      </c>
      <c r="F240" s="6" t="str">
        <f>INDEX(Données!$F$2:$L$54,MATCH('#6'!E240,Données!$G$2:$G$54,1),1)</f>
        <v>39</v>
      </c>
      <c r="G240" s="18" t="str">
        <f t="shared" si="7"/>
        <v>S.O.</v>
      </c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1"/>
      <c r="W240" s="75"/>
      <c r="X240" s="75"/>
      <c r="Y240" s="75"/>
      <c r="Z240" s="96">
        <f>SUM(Tableau17[[#This Row],[A-1]:[G-5]])</f>
        <v>0</v>
      </c>
      <c r="AA240" s="96" t="str">
        <f>IF(AND(Z240&gt;0,Tableau17[[#This Row],[CDS]]=""),"Oui","Non")</f>
        <v>Non</v>
      </c>
      <c r="AB240" s="75"/>
      <c r="AC240" s="75"/>
      <c r="AD240" s="75"/>
      <c r="AE240" s="75"/>
      <c r="AF240" s="75"/>
      <c r="AG240" s="75"/>
      <c r="AH240" s="75"/>
      <c r="AI240" s="75"/>
      <c r="AJ240" s="81"/>
      <c r="AK240" s="75"/>
      <c r="AL240" s="75"/>
    </row>
    <row r="241" spans="1:38" ht="15.75" hidden="1" thickBot="1" x14ac:dyDescent="0.3">
      <c r="A241" s="75"/>
      <c r="B241" s="75"/>
      <c r="C241" s="35">
        <f>INDEX(Données!$F$2:$L$54,MATCH(F241,Données!$F$2:$F$54,0),2)</f>
        <v>44095</v>
      </c>
      <c r="D241" s="29" t="str">
        <f t="shared" si="6"/>
        <v>#6</v>
      </c>
      <c r="E241" s="7">
        <f>Données!L40</f>
        <v>44100</v>
      </c>
      <c r="F241" s="6" t="str">
        <f>INDEX(Données!$F$2:$L$54,MATCH('#6'!E241,Données!$G$2:$G$54,1),1)</f>
        <v>39</v>
      </c>
      <c r="G241" s="18" t="str">
        <f t="shared" si="7"/>
        <v>S.O.</v>
      </c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1"/>
      <c r="W241" s="75"/>
      <c r="X241" s="75"/>
      <c r="Y241" s="75"/>
      <c r="Z241" s="96">
        <f>SUM(Tableau17[[#This Row],[A-1]:[G-5]])</f>
        <v>0</v>
      </c>
      <c r="AA241" s="96" t="str">
        <f>IF(AND(Z241&gt;0,Tableau17[[#This Row],[CDS]]=""),"Oui","Non")</f>
        <v>Non</v>
      </c>
      <c r="AB241" s="75"/>
      <c r="AC241" s="75"/>
      <c r="AD241" s="75"/>
      <c r="AE241" s="75"/>
      <c r="AF241" s="75"/>
      <c r="AG241" s="75"/>
      <c r="AH241" s="75"/>
      <c r="AI241" s="75"/>
      <c r="AJ241" s="81"/>
      <c r="AK241" s="75"/>
      <c r="AL241" s="75"/>
    </row>
    <row r="242" spans="1:38" ht="15.75" hidden="1" thickBot="1" x14ac:dyDescent="0.3">
      <c r="A242" s="75"/>
      <c r="B242" s="75"/>
      <c r="C242" s="35">
        <f>INDEX(Données!$F$2:$L$54,MATCH(F242,Données!$F$2:$F$54,0),2)</f>
        <v>44102</v>
      </c>
      <c r="D242" s="29" t="str">
        <f t="shared" si="6"/>
        <v>#6</v>
      </c>
      <c r="E242" s="7">
        <f>Données!G41</f>
        <v>44102</v>
      </c>
      <c r="F242" s="6" t="str">
        <f>INDEX(Données!$F$2:$L$54,MATCH('#6'!E242,Données!$G$2:$G$54,1),1)</f>
        <v>40</v>
      </c>
      <c r="G242" s="18" t="str">
        <f t="shared" si="7"/>
        <v>S.O.</v>
      </c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1"/>
      <c r="W242" s="75"/>
      <c r="X242" s="75"/>
      <c r="Y242" s="75"/>
      <c r="Z242" s="96">
        <f>SUM(Tableau17[[#This Row],[A-1]:[G-5]])</f>
        <v>0</v>
      </c>
      <c r="AA242" s="96" t="str">
        <f>IF(AND(Z242&gt;0,Tableau17[[#This Row],[CDS]]=""),"Oui","Non")</f>
        <v>Non</v>
      </c>
      <c r="AB242" s="75"/>
      <c r="AC242" s="75"/>
      <c r="AD242" s="75"/>
      <c r="AE242" s="75"/>
      <c r="AF242" s="75"/>
      <c r="AG242" s="75"/>
      <c r="AH242" s="75"/>
      <c r="AI242" s="75"/>
      <c r="AJ242" s="81"/>
      <c r="AK242" s="75"/>
      <c r="AL242" s="75"/>
    </row>
    <row r="243" spans="1:38" ht="15.75" hidden="1" thickBot="1" x14ac:dyDescent="0.3">
      <c r="A243" s="75"/>
      <c r="B243" s="75"/>
      <c r="C243" s="35">
        <f>INDEX(Données!$F$2:$L$54,MATCH(F243,Données!$F$2:$F$54,0),2)</f>
        <v>44102</v>
      </c>
      <c r="D243" s="29" t="str">
        <f t="shared" si="6"/>
        <v>#6</v>
      </c>
      <c r="E243" s="7">
        <f>Données!H41</f>
        <v>44103</v>
      </c>
      <c r="F243" s="6" t="str">
        <f>INDEX(Données!$F$2:$L$54,MATCH('#6'!E243,Données!$G$2:$G$54,1),1)</f>
        <v>40</v>
      </c>
      <c r="G243" s="18" t="str">
        <f t="shared" si="7"/>
        <v>S.O.</v>
      </c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1"/>
      <c r="W243" s="75"/>
      <c r="X243" s="75"/>
      <c r="Y243" s="75"/>
      <c r="Z243" s="96">
        <f>SUM(Tableau17[[#This Row],[A-1]:[G-5]])</f>
        <v>0</v>
      </c>
      <c r="AA243" s="96" t="str">
        <f>IF(AND(Z243&gt;0,Tableau17[[#This Row],[CDS]]=""),"Oui","Non")</f>
        <v>Non</v>
      </c>
      <c r="AB243" s="75"/>
      <c r="AC243" s="75"/>
      <c r="AD243" s="75"/>
      <c r="AE243" s="75"/>
      <c r="AF243" s="75"/>
      <c r="AG243" s="75"/>
      <c r="AH243" s="75"/>
      <c r="AI243" s="75"/>
      <c r="AJ243" s="81"/>
      <c r="AK243" s="75"/>
      <c r="AL243" s="75"/>
    </row>
    <row r="244" spans="1:38" ht="15.75" hidden="1" thickBot="1" x14ac:dyDescent="0.3">
      <c r="A244" s="75"/>
      <c r="B244" s="75"/>
      <c r="C244" s="35">
        <f>INDEX(Données!$F$2:$L$54,MATCH(F244,Données!$F$2:$F$54,0),2)</f>
        <v>44102</v>
      </c>
      <c r="D244" s="29" t="str">
        <f t="shared" si="6"/>
        <v>#6</v>
      </c>
      <c r="E244" s="7">
        <f>Données!I41</f>
        <v>44104</v>
      </c>
      <c r="F244" s="6" t="str">
        <f>INDEX(Données!$F$2:$L$54,MATCH('#6'!E244,Données!$G$2:$G$54,1),1)</f>
        <v>40</v>
      </c>
      <c r="G244" s="18" t="str">
        <f t="shared" si="7"/>
        <v>S.O.</v>
      </c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1"/>
      <c r="W244" s="75"/>
      <c r="X244" s="75"/>
      <c r="Y244" s="75"/>
      <c r="Z244" s="96">
        <f>SUM(Tableau17[[#This Row],[A-1]:[G-5]])</f>
        <v>0</v>
      </c>
      <c r="AA244" s="96" t="str">
        <f>IF(AND(Z244&gt;0,Tableau17[[#This Row],[CDS]]=""),"Oui","Non")</f>
        <v>Non</v>
      </c>
      <c r="AB244" s="75"/>
      <c r="AC244" s="75"/>
      <c r="AD244" s="75"/>
      <c r="AE244" s="75"/>
      <c r="AF244" s="75"/>
      <c r="AG244" s="75"/>
      <c r="AH244" s="75"/>
      <c r="AI244" s="75"/>
      <c r="AJ244" s="81"/>
      <c r="AK244" s="75"/>
      <c r="AL244" s="75"/>
    </row>
    <row r="245" spans="1:38" ht="15.75" hidden="1" thickBot="1" x14ac:dyDescent="0.3">
      <c r="A245" s="75"/>
      <c r="B245" s="75"/>
      <c r="C245" s="35">
        <f>INDEX(Données!$F$2:$L$54,MATCH(F245,Données!$F$2:$F$54,0),2)</f>
        <v>44102</v>
      </c>
      <c r="D245" s="29" t="str">
        <f t="shared" si="6"/>
        <v>#6</v>
      </c>
      <c r="E245" s="7">
        <f>Données!J41</f>
        <v>44105</v>
      </c>
      <c r="F245" s="6" t="str">
        <f>INDEX(Données!$F$2:$L$54,MATCH('#6'!E245,Données!$G$2:$G$54,1),1)</f>
        <v>40</v>
      </c>
      <c r="G245" s="18" t="str">
        <f t="shared" si="7"/>
        <v>S.O.</v>
      </c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1"/>
      <c r="W245" s="75"/>
      <c r="X245" s="75"/>
      <c r="Y245" s="75"/>
      <c r="Z245" s="96">
        <f>SUM(Tableau17[[#This Row],[A-1]:[G-5]])</f>
        <v>0</v>
      </c>
      <c r="AA245" s="96" t="str">
        <f>IF(AND(Z245&gt;0,Tableau17[[#This Row],[CDS]]=""),"Oui","Non")</f>
        <v>Non</v>
      </c>
      <c r="AB245" s="75"/>
      <c r="AC245" s="75"/>
      <c r="AD245" s="75"/>
      <c r="AE245" s="75"/>
      <c r="AF245" s="75"/>
      <c r="AG245" s="75"/>
      <c r="AH245" s="75"/>
      <c r="AI245" s="75"/>
      <c r="AJ245" s="81"/>
      <c r="AK245" s="75"/>
      <c r="AL245" s="75"/>
    </row>
    <row r="246" spans="1:38" ht="15.75" hidden="1" thickBot="1" x14ac:dyDescent="0.3">
      <c r="A246" s="75"/>
      <c r="B246" s="75"/>
      <c r="C246" s="35">
        <f>INDEX(Données!$F$2:$L$54,MATCH(F246,Données!$F$2:$F$54,0),2)</f>
        <v>44102</v>
      </c>
      <c r="D246" s="29" t="str">
        <f t="shared" si="6"/>
        <v>#6</v>
      </c>
      <c r="E246" s="7">
        <f>Données!K41</f>
        <v>44106</v>
      </c>
      <c r="F246" s="6" t="str">
        <f>INDEX(Données!$F$2:$L$54,MATCH('#6'!E246,Données!$G$2:$G$54,1),1)</f>
        <v>40</v>
      </c>
      <c r="G246" s="18" t="str">
        <f t="shared" si="7"/>
        <v>S.O.</v>
      </c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1"/>
      <c r="W246" s="75"/>
      <c r="X246" s="75"/>
      <c r="Y246" s="75"/>
      <c r="Z246" s="96">
        <f>SUM(Tableau17[[#This Row],[A-1]:[G-5]])</f>
        <v>0</v>
      </c>
      <c r="AA246" s="96" t="str">
        <f>IF(AND(Z246&gt;0,Tableau17[[#This Row],[CDS]]=""),"Oui","Non")</f>
        <v>Non</v>
      </c>
      <c r="AB246" s="75"/>
      <c r="AC246" s="75"/>
      <c r="AD246" s="75"/>
      <c r="AE246" s="75"/>
      <c r="AF246" s="75"/>
      <c r="AG246" s="75"/>
      <c r="AH246" s="75"/>
      <c r="AI246" s="75"/>
      <c r="AJ246" s="81"/>
      <c r="AK246" s="75"/>
      <c r="AL246" s="75"/>
    </row>
    <row r="247" spans="1:38" ht="15.75" hidden="1" thickBot="1" x14ac:dyDescent="0.3">
      <c r="A247" s="75"/>
      <c r="B247" s="75"/>
      <c r="C247" s="35">
        <f>INDEX(Données!$F$2:$L$54,MATCH(F247,Données!$F$2:$F$54,0),2)</f>
        <v>44102</v>
      </c>
      <c r="D247" s="29" t="str">
        <f t="shared" si="6"/>
        <v>#6</v>
      </c>
      <c r="E247" s="7">
        <f>Données!L41</f>
        <v>44107</v>
      </c>
      <c r="F247" s="6" t="str">
        <f>INDEX(Données!$F$2:$L$54,MATCH('#6'!E247,Données!$G$2:$G$54,1),1)</f>
        <v>40</v>
      </c>
      <c r="G247" s="18" t="str">
        <f t="shared" si="7"/>
        <v>S.O.</v>
      </c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1"/>
      <c r="W247" s="75"/>
      <c r="X247" s="75"/>
      <c r="Y247" s="75"/>
      <c r="Z247" s="96">
        <f>SUM(Tableau17[[#This Row],[A-1]:[G-5]])</f>
        <v>0</v>
      </c>
      <c r="AA247" s="96" t="str">
        <f>IF(AND(Z247&gt;0,Tableau17[[#This Row],[CDS]]=""),"Oui","Non")</f>
        <v>Non</v>
      </c>
      <c r="AB247" s="75"/>
      <c r="AC247" s="75"/>
      <c r="AD247" s="75"/>
      <c r="AE247" s="75"/>
      <c r="AF247" s="75"/>
      <c r="AG247" s="75"/>
      <c r="AH247" s="75"/>
      <c r="AI247" s="75"/>
      <c r="AJ247" s="81"/>
      <c r="AK247" s="75"/>
      <c r="AL247" s="75"/>
    </row>
    <row r="248" spans="1:38" ht="15.75" hidden="1" thickBot="1" x14ac:dyDescent="0.3">
      <c r="A248" s="75"/>
      <c r="B248" s="75"/>
      <c r="C248" s="35">
        <f>INDEX(Données!$F$2:$L$54,MATCH(F248,Données!$F$2:$F$54,0),2)</f>
        <v>44109</v>
      </c>
      <c r="D248" s="29" t="str">
        <f t="shared" si="6"/>
        <v>#6</v>
      </c>
      <c r="E248" s="7">
        <f>Données!G42</f>
        <v>44109</v>
      </c>
      <c r="F248" s="6" t="str">
        <f>INDEX(Données!$F$2:$L$54,MATCH('#6'!E248,Données!$G$2:$G$54,1),1)</f>
        <v>41</v>
      </c>
      <c r="G248" s="18" t="str">
        <f t="shared" si="7"/>
        <v>S.O.</v>
      </c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1"/>
      <c r="W248" s="75"/>
      <c r="X248" s="75"/>
      <c r="Y248" s="75"/>
      <c r="Z248" s="96">
        <f>SUM(Tableau17[[#This Row],[A-1]:[G-5]])</f>
        <v>0</v>
      </c>
      <c r="AA248" s="96" t="str">
        <f>IF(AND(Z248&gt;0,Tableau17[[#This Row],[CDS]]=""),"Oui","Non")</f>
        <v>Non</v>
      </c>
      <c r="AB248" s="75"/>
      <c r="AC248" s="75"/>
      <c r="AD248" s="75"/>
      <c r="AE248" s="75"/>
      <c r="AF248" s="75"/>
      <c r="AG248" s="75"/>
      <c r="AH248" s="75"/>
      <c r="AI248" s="75"/>
      <c r="AJ248" s="81"/>
      <c r="AK248" s="75"/>
      <c r="AL248" s="75"/>
    </row>
    <row r="249" spans="1:38" ht="15.75" hidden="1" thickBot="1" x14ac:dyDescent="0.3">
      <c r="A249" s="75"/>
      <c r="B249" s="75"/>
      <c r="C249" s="35">
        <f>INDEX(Données!$F$2:$L$54,MATCH(F249,Données!$F$2:$F$54,0),2)</f>
        <v>44109</v>
      </c>
      <c r="D249" s="29" t="str">
        <f t="shared" si="6"/>
        <v>#6</v>
      </c>
      <c r="E249" s="7">
        <f>Données!H42</f>
        <v>44110</v>
      </c>
      <c r="F249" s="6" t="str">
        <f>INDEX(Données!$F$2:$L$54,MATCH('#6'!E249,Données!$G$2:$G$54,1),1)</f>
        <v>41</v>
      </c>
      <c r="G249" s="18" t="str">
        <f t="shared" si="7"/>
        <v>S.O.</v>
      </c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1"/>
      <c r="W249" s="75"/>
      <c r="X249" s="75"/>
      <c r="Y249" s="75"/>
      <c r="Z249" s="96">
        <f>SUM(Tableau17[[#This Row],[A-1]:[G-5]])</f>
        <v>0</v>
      </c>
      <c r="AA249" s="96" t="str">
        <f>IF(AND(Z249&gt;0,Tableau17[[#This Row],[CDS]]=""),"Oui","Non")</f>
        <v>Non</v>
      </c>
      <c r="AB249" s="75"/>
      <c r="AC249" s="75"/>
      <c r="AD249" s="75"/>
      <c r="AE249" s="75"/>
      <c r="AF249" s="75"/>
      <c r="AG249" s="75"/>
      <c r="AH249" s="75"/>
      <c r="AI249" s="75"/>
      <c r="AJ249" s="81"/>
      <c r="AK249" s="75"/>
      <c r="AL249" s="75"/>
    </row>
    <row r="250" spans="1:38" ht="15.75" hidden="1" thickBot="1" x14ac:dyDescent="0.3">
      <c r="A250" s="75"/>
      <c r="B250" s="75"/>
      <c r="C250" s="35">
        <f>INDEX(Données!$F$2:$L$54,MATCH(F250,Données!$F$2:$F$54,0),2)</f>
        <v>44109</v>
      </c>
      <c r="D250" s="29" t="str">
        <f t="shared" si="6"/>
        <v>#6</v>
      </c>
      <c r="E250" s="7">
        <f>Données!I42</f>
        <v>44111</v>
      </c>
      <c r="F250" s="6" t="str">
        <f>INDEX(Données!$F$2:$L$54,MATCH('#6'!E250,Données!$G$2:$G$54,1),1)</f>
        <v>41</v>
      </c>
      <c r="G250" s="18" t="str">
        <f t="shared" si="7"/>
        <v>S.O.</v>
      </c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1"/>
      <c r="W250" s="75"/>
      <c r="X250" s="75"/>
      <c r="Y250" s="75"/>
      <c r="Z250" s="96">
        <f>SUM(Tableau17[[#This Row],[A-1]:[G-5]])</f>
        <v>0</v>
      </c>
      <c r="AA250" s="96" t="str">
        <f>IF(AND(Z250&gt;0,Tableau17[[#This Row],[CDS]]=""),"Oui","Non")</f>
        <v>Non</v>
      </c>
      <c r="AB250" s="75"/>
      <c r="AC250" s="75"/>
      <c r="AD250" s="75"/>
      <c r="AE250" s="75"/>
      <c r="AF250" s="75"/>
      <c r="AG250" s="75"/>
      <c r="AH250" s="75"/>
      <c r="AI250" s="75"/>
      <c r="AJ250" s="81"/>
      <c r="AK250" s="75"/>
      <c r="AL250" s="75"/>
    </row>
    <row r="251" spans="1:38" ht="15.75" hidden="1" thickBot="1" x14ac:dyDescent="0.3">
      <c r="A251" s="75"/>
      <c r="B251" s="75"/>
      <c r="C251" s="35">
        <f>INDEX(Données!$F$2:$L$54,MATCH(F251,Données!$F$2:$F$54,0),2)</f>
        <v>44109</v>
      </c>
      <c r="D251" s="29" t="str">
        <f t="shared" si="6"/>
        <v>#6</v>
      </c>
      <c r="E251" s="7">
        <f>Données!J42</f>
        <v>44112</v>
      </c>
      <c r="F251" s="6" t="str">
        <f>INDEX(Données!$F$2:$L$54,MATCH('#6'!E251,Données!$G$2:$G$54,1),1)</f>
        <v>41</v>
      </c>
      <c r="G251" s="18" t="str">
        <f t="shared" si="7"/>
        <v>S.O.</v>
      </c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1"/>
      <c r="W251" s="75"/>
      <c r="X251" s="75"/>
      <c r="Y251" s="75"/>
      <c r="Z251" s="96">
        <f>SUM(Tableau17[[#This Row],[A-1]:[G-5]])</f>
        <v>0</v>
      </c>
      <c r="AA251" s="96" t="str">
        <f>IF(AND(Z251&gt;0,Tableau17[[#This Row],[CDS]]=""),"Oui","Non")</f>
        <v>Non</v>
      </c>
      <c r="AB251" s="75"/>
      <c r="AC251" s="75"/>
      <c r="AD251" s="75"/>
      <c r="AE251" s="75"/>
      <c r="AF251" s="75"/>
      <c r="AG251" s="75"/>
      <c r="AH251" s="75"/>
      <c r="AI251" s="75"/>
      <c r="AJ251" s="81"/>
      <c r="AK251" s="75"/>
      <c r="AL251" s="75"/>
    </row>
    <row r="252" spans="1:38" ht="15.75" hidden="1" thickBot="1" x14ac:dyDescent="0.3">
      <c r="A252" s="75"/>
      <c r="B252" s="75"/>
      <c r="C252" s="35">
        <f>INDEX(Données!$F$2:$L$54,MATCH(F252,Données!$F$2:$F$54,0),2)</f>
        <v>44109</v>
      </c>
      <c r="D252" s="29" t="str">
        <f t="shared" si="6"/>
        <v>#6</v>
      </c>
      <c r="E252" s="7">
        <f>Données!K42</f>
        <v>44113</v>
      </c>
      <c r="F252" s="6" t="str">
        <f>INDEX(Données!$F$2:$L$54,MATCH('#6'!E252,Données!$G$2:$G$54,1),1)</f>
        <v>41</v>
      </c>
      <c r="G252" s="18" t="str">
        <f t="shared" si="7"/>
        <v>S.O.</v>
      </c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1"/>
      <c r="W252" s="75"/>
      <c r="X252" s="75"/>
      <c r="Y252" s="75"/>
      <c r="Z252" s="96">
        <f>SUM(Tableau17[[#This Row],[A-1]:[G-5]])</f>
        <v>0</v>
      </c>
      <c r="AA252" s="96" t="str">
        <f>IF(AND(Z252&gt;0,Tableau17[[#This Row],[CDS]]=""),"Oui","Non")</f>
        <v>Non</v>
      </c>
      <c r="AB252" s="75"/>
      <c r="AC252" s="75"/>
      <c r="AD252" s="75"/>
      <c r="AE252" s="75"/>
      <c r="AF252" s="75"/>
      <c r="AG252" s="75"/>
      <c r="AH252" s="75"/>
      <c r="AI252" s="75"/>
      <c r="AJ252" s="81"/>
      <c r="AK252" s="75"/>
      <c r="AL252" s="75"/>
    </row>
    <row r="253" spans="1:38" ht="15.75" hidden="1" thickBot="1" x14ac:dyDescent="0.3">
      <c r="A253" s="75"/>
      <c r="B253" s="75"/>
      <c r="C253" s="35">
        <f>INDEX(Données!$F$2:$L$54,MATCH(F253,Données!$F$2:$F$54,0),2)</f>
        <v>44109</v>
      </c>
      <c r="D253" s="29" t="str">
        <f t="shared" si="6"/>
        <v>#6</v>
      </c>
      <c r="E253" s="7">
        <f>Données!L42</f>
        <v>44114</v>
      </c>
      <c r="F253" s="6" t="str">
        <f>INDEX(Données!$F$2:$L$54,MATCH('#6'!E253,Données!$G$2:$G$54,1),1)</f>
        <v>41</v>
      </c>
      <c r="G253" s="18" t="str">
        <f t="shared" si="7"/>
        <v>S.O.</v>
      </c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1"/>
      <c r="W253" s="75"/>
      <c r="X253" s="75"/>
      <c r="Y253" s="75"/>
      <c r="Z253" s="96">
        <f>SUM(Tableau17[[#This Row],[A-1]:[G-5]])</f>
        <v>0</v>
      </c>
      <c r="AA253" s="96" t="str">
        <f>IF(AND(Z253&gt;0,Tableau17[[#This Row],[CDS]]=""),"Oui","Non")</f>
        <v>Non</v>
      </c>
      <c r="AB253" s="75"/>
      <c r="AC253" s="75"/>
      <c r="AD253" s="75"/>
      <c r="AE253" s="75"/>
      <c r="AF253" s="75"/>
      <c r="AG253" s="75"/>
      <c r="AH253" s="75"/>
      <c r="AI253" s="75"/>
      <c r="AJ253" s="81"/>
      <c r="AK253" s="75"/>
      <c r="AL253" s="75"/>
    </row>
    <row r="254" spans="1:38" ht="15.75" hidden="1" thickBot="1" x14ac:dyDescent="0.3">
      <c r="A254" s="75"/>
      <c r="B254" s="75"/>
      <c r="C254" s="35">
        <f>INDEX(Données!$F$2:$L$54,MATCH(F254,Données!$F$2:$F$54,0),2)</f>
        <v>44116</v>
      </c>
      <c r="D254" s="29" t="str">
        <f t="shared" si="6"/>
        <v>#6</v>
      </c>
      <c r="E254" s="7">
        <f>Données!G43</f>
        <v>44116</v>
      </c>
      <c r="F254" s="6" t="str">
        <f>INDEX(Données!$F$2:$L$54,MATCH('#6'!E254,Données!$G$2:$G$54,1),1)</f>
        <v>42</v>
      </c>
      <c r="G254" s="18" t="str">
        <f t="shared" si="7"/>
        <v>S.O.</v>
      </c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1"/>
      <c r="W254" s="75"/>
      <c r="X254" s="75"/>
      <c r="Y254" s="75"/>
      <c r="Z254" s="96">
        <f>SUM(Tableau17[[#This Row],[A-1]:[G-5]])</f>
        <v>0</v>
      </c>
      <c r="AA254" s="96" t="str">
        <f>IF(AND(Z254&gt;0,Tableau17[[#This Row],[CDS]]=""),"Oui","Non")</f>
        <v>Non</v>
      </c>
      <c r="AB254" s="75"/>
      <c r="AC254" s="75"/>
      <c r="AD254" s="75"/>
      <c r="AE254" s="75"/>
      <c r="AF254" s="75"/>
      <c r="AG254" s="75"/>
      <c r="AH254" s="75"/>
      <c r="AI254" s="75"/>
      <c r="AJ254" s="81"/>
      <c r="AK254" s="75"/>
      <c r="AL254" s="75"/>
    </row>
    <row r="255" spans="1:38" ht="15.75" hidden="1" thickBot="1" x14ac:dyDescent="0.3">
      <c r="A255" s="75"/>
      <c r="B255" s="75"/>
      <c r="C255" s="35">
        <f>INDEX(Données!$F$2:$L$54,MATCH(F255,Données!$F$2:$F$54,0),2)</f>
        <v>44116</v>
      </c>
      <c r="D255" s="29" t="str">
        <f t="shared" si="6"/>
        <v>#6</v>
      </c>
      <c r="E255" s="7">
        <f>Données!H43</f>
        <v>44117</v>
      </c>
      <c r="F255" s="6" t="str">
        <f>INDEX(Données!$F$2:$L$54,MATCH('#6'!E255,Données!$G$2:$G$54,1),1)</f>
        <v>42</v>
      </c>
      <c r="G255" s="18" t="str">
        <f t="shared" si="7"/>
        <v>S.O.</v>
      </c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1"/>
      <c r="W255" s="75"/>
      <c r="X255" s="75"/>
      <c r="Y255" s="75"/>
      <c r="Z255" s="96">
        <f>SUM(Tableau17[[#This Row],[A-1]:[G-5]])</f>
        <v>0</v>
      </c>
      <c r="AA255" s="96" t="str">
        <f>IF(AND(Z255&gt;0,Tableau17[[#This Row],[CDS]]=""),"Oui","Non")</f>
        <v>Non</v>
      </c>
      <c r="AB255" s="75"/>
      <c r="AC255" s="75"/>
      <c r="AD255" s="75"/>
      <c r="AE255" s="75"/>
      <c r="AF255" s="75"/>
      <c r="AG255" s="75"/>
      <c r="AH255" s="75"/>
      <c r="AI255" s="75"/>
      <c r="AJ255" s="81"/>
      <c r="AK255" s="75"/>
      <c r="AL255" s="75"/>
    </row>
    <row r="256" spans="1:38" ht="15.75" hidden="1" thickBot="1" x14ac:dyDescent="0.3">
      <c r="A256" s="75"/>
      <c r="B256" s="75"/>
      <c r="C256" s="35">
        <f>INDEX(Données!$F$2:$L$54,MATCH(F256,Données!$F$2:$F$54,0),2)</f>
        <v>44116</v>
      </c>
      <c r="D256" s="29" t="str">
        <f t="shared" si="6"/>
        <v>#6</v>
      </c>
      <c r="E256" s="7">
        <f>Données!I43</f>
        <v>44118</v>
      </c>
      <c r="F256" s="6" t="str">
        <f>INDEX(Données!$F$2:$L$54,MATCH('#6'!E256,Données!$G$2:$G$54,1),1)</f>
        <v>42</v>
      </c>
      <c r="G256" s="18" t="str">
        <f t="shared" si="7"/>
        <v>S.O.</v>
      </c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1"/>
      <c r="W256" s="75"/>
      <c r="X256" s="75"/>
      <c r="Y256" s="75"/>
      <c r="Z256" s="96">
        <f>SUM(Tableau17[[#This Row],[A-1]:[G-5]])</f>
        <v>0</v>
      </c>
      <c r="AA256" s="96" t="str">
        <f>IF(AND(Z256&gt;0,Tableau17[[#This Row],[CDS]]=""),"Oui","Non")</f>
        <v>Non</v>
      </c>
      <c r="AB256" s="75"/>
      <c r="AC256" s="75"/>
      <c r="AD256" s="75"/>
      <c r="AE256" s="75"/>
      <c r="AF256" s="75"/>
      <c r="AG256" s="75"/>
      <c r="AH256" s="75"/>
      <c r="AI256" s="75"/>
      <c r="AJ256" s="81"/>
      <c r="AK256" s="75"/>
      <c r="AL256" s="75"/>
    </row>
    <row r="257" spans="1:38" ht="15.75" hidden="1" thickBot="1" x14ac:dyDescent="0.3">
      <c r="A257" s="75"/>
      <c r="B257" s="75"/>
      <c r="C257" s="35">
        <f>INDEX(Données!$F$2:$L$54,MATCH(F257,Données!$F$2:$F$54,0),2)</f>
        <v>44116</v>
      </c>
      <c r="D257" s="29" t="str">
        <f t="shared" si="6"/>
        <v>#6</v>
      </c>
      <c r="E257" s="7">
        <f>Données!J43</f>
        <v>44119</v>
      </c>
      <c r="F257" s="6" t="str">
        <f>INDEX(Données!$F$2:$L$54,MATCH('#6'!E257,Données!$G$2:$G$54,1),1)</f>
        <v>42</v>
      </c>
      <c r="G257" s="18" t="str">
        <f t="shared" si="7"/>
        <v>S.O.</v>
      </c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1"/>
      <c r="W257" s="75"/>
      <c r="X257" s="75"/>
      <c r="Y257" s="75"/>
      <c r="Z257" s="96">
        <f>SUM(Tableau17[[#This Row],[A-1]:[G-5]])</f>
        <v>0</v>
      </c>
      <c r="AA257" s="96" t="str">
        <f>IF(AND(Z257&gt;0,Tableau17[[#This Row],[CDS]]=""),"Oui","Non")</f>
        <v>Non</v>
      </c>
      <c r="AB257" s="75"/>
      <c r="AC257" s="75"/>
      <c r="AD257" s="75"/>
      <c r="AE257" s="75"/>
      <c r="AF257" s="75"/>
      <c r="AG257" s="75"/>
      <c r="AH257" s="75"/>
      <c r="AI257" s="75"/>
      <c r="AJ257" s="81"/>
      <c r="AK257" s="75"/>
      <c r="AL257" s="75"/>
    </row>
    <row r="258" spans="1:38" ht="15.75" hidden="1" thickBot="1" x14ac:dyDescent="0.3">
      <c r="A258" s="75"/>
      <c r="B258" s="75"/>
      <c r="C258" s="35">
        <f>INDEX(Données!$F$2:$L$54,MATCH(F258,Données!$F$2:$F$54,0),2)</f>
        <v>44116</v>
      </c>
      <c r="D258" s="29" t="str">
        <f t="shared" si="6"/>
        <v>#6</v>
      </c>
      <c r="E258" s="7">
        <f>Données!K43</f>
        <v>44120</v>
      </c>
      <c r="F258" s="6" t="str">
        <f>INDEX(Données!$F$2:$L$54,MATCH('#6'!E258,Données!$G$2:$G$54,1),1)</f>
        <v>42</v>
      </c>
      <c r="G258" s="18" t="str">
        <f t="shared" si="7"/>
        <v>S.O.</v>
      </c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1"/>
      <c r="W258" s="75"/>
      <c r="X258" s="75"/>
      <c r="Y258" s="75"/>
      <c r="Z258" s="96">
        <f>SUM(Tableau17[[#This Row],[A-1]:[G-5]])</f>
        <v>0</v>
      </c>
      <c r="AA258" s="96" t="str">
        <f>IF(AND(Z258&gt;0,Tableau17[[#This Row],[CDS]]=""),"Oui","Non")</f>
        <v>Non</v>
      </c>
      <c r="AB258" s="75"/>
      <c r="AC258" s="75"/>
      <c r="AD258" s="75"/>
      <c r="AE258" s="75"/>
      <c r="AF258" s="75"/>
      <c r="AG258" s="75"/>
      <c r="AH258" s="75"/>
      <c r="AI258" s="75"/>
      <c r="AJ258" s="81"/>
      <c r="AK258" s="75"/>
      <c r="AL258" s="75"/>
    </row>
    <row r="259" spans="1:38" ht="15.75" hidden="1" thickBot="1" x14ac:dyDescent="0.3">
      <c r="A259" s="75"/>
      <c r="B259" s="75"/>
      <c r="C259" s="35">
        <f>INDEX(Données!$F$2:$L$54,MATCH(F259,Données!$F$2:$F$54,0),2)</f>
        <v>44116</v>
      </c>
      <c r="D259" s="29" t="str">
        <f t="shared" si="6"/>
        <v>#6</v>
      </c>
      <c r="E259" s="7">
        <f>Données!L43</f>
        <v>44121</v>
      </c>
      <c r="F259" s="6" t="str">
        <f>INDEX(Données!$F$2:$L$54,MATCH('#6'!E259,Données!$G$2:$G$54,1),1)</f>
        <v>42</v>
      </c>
      <c r="G259" s="18" t="str">
        <f t="shared" si="7"/>
        <v>S.O.</v>
      </c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1"/>
      <c r="W259" s="75"/>
      <c r="X259" s="75"/>
      <c r="Y259" s="75"/>
      <c r="Z259" s="96">
        <f>SUM(Tableau17[[#This Row],[A-1]:[G-5]])</f>
        <v>0</v>
      </c>
      <c r="AA259" s="96" t="str">
        <f>IF(AND(Z259&gt;0,Tableau17[[#This Row],[CDS]]=""),"Oui","Non")</f>
        <v>Non</v>
      </c>
      <c r="AB259" s="75"/>
      <c r="AC259" s="75"/>
      <c r="AD259" s="75"/>
      <c r="AE259" s="75"/>
      <c r="AF259" s="75"/>
      <c r="AG259" s="75"/>
      <c r="AH259" s="75"/>
      <c r="AI259" s="75"/>
      <c r="AJ259" s="81"/>
      <c r="AK259" s="75"/>
      <c r="AL259" s="75"/>
    </row>
    <row r="260" spans="1:38" ht="15.75" hidden="1" thickBot="1" x14ac:dyDescent="0.3">
      <c r="A260" s="75"/>
      <c r="B260" s="75"/>
      <c r="C260" s="35">
        <f>INDEX(Données!$F$2:$L$54,MATCH(F260,Données!$F$2:$F$54,0),2)</f>
        <v>44123</v>
      </c>
      <c r="D260" s="29" t="str">
        <f t="shared" si="6"/>
        <v>#6</v>
      </c>
      <c r="E260" s="7">
        <f>Données!G44</f>
        <v>44123</v>
      </c>
      <c r="F260" s="6" t="str">
        <f>INDEX(Données!$F$2:$L$54,MATCH('#6'!E260,Données!$G$2:$G$54,1),1)</f>
        <v>43</v>
      </c>
      <c r="G260" s="18" t="str">
        <f t="shared" si="7"/>
        <v>S.O.</v>
      </c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1"/>
      <c r="W260" s="75"/>
      <c r="X260" s="75"/>
      <c r="Y260" s="75"/>
      <c r="Z260" s="96">
        <f>SUM(Tableau17[[#This Row],[A-1]:[G-5]])</f>
        <v>0</v>
      </c>
      <c r="AA260" s="96" t="str">
        <f>IF(AND(Z260&gt;0,Tableau17[[#This Row],[CDS]]=""),"Oui","Non")</f>
        <v>Non</v>
      </c>
      <c r="AB260" s="75"/>
      <c r="AC260" s="75"/>
      <c r="AD260" s="75"/>
      <c r="AE260" s="75"/>
      <c r="AF260" s="75"/>
      <c r="AG260" s="75"/>
      <c r="AH260" s="75"/>
      <c r="AI260" s="75"/>
      <c r="AJ260" s="81"/>
      <c r="AK260" s="75"/>
      <c r="AL260" s="75"/>
    </row>
    <row r="261" spans="1:38" ht="15.75" hidden="1" thickBot="1" x14ac:dyDescent="0.3">
      <c r="A261" s="75"/>
      <c r="B261" s="75"/>
      <c r="C261" s="35">
        <f>INDEX(Données!$F$2:$L$54,MATCH(F261,Données!$F$2:$F$54,0),2)</f>
        <v>44123</v>
      </c>
      <c r="D261" s="29" t="str">
        <f t="shared" si="6"/>
        <v>#6</v>
      </c>
      <c r="E261" s="7">
        <f>Données!H44</f>
        <v>44124</v>
      </c>
      <c r="F261" s="6" t="str">
        <f>INDEX(Données!$F$2:$L$54,MATCH('#6'!E261,Données!$G$2:$G$54,1),1)</f>
        <v>43</v>
      </c>
      <c r="G261" s="18" t="str">
        <f t="shared" si="7"/>
        <v>S.O.</v>
      </c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1"/>
      <c r="W261" s="75"/>
      <c r="X261" s="75"/>
      <c r="Y261" s="75"/>
      <c r="Z261" s="96">
        <f>SUM(Tableau17[[#This Row],[A-1]:[G-5]])</f>
        <v>0</v>
      </c>
      <c r="AA261" s="96" t="str">
        <f>IF(AND(Z261&gt;0,Tableau17[[#This Row],[CDS]]=""),"Oui","Non")</f>
        <v>Non</v>
      </c>
      <c r="AB261" s="75"/>
      <c r="AC261" s="75"/>
      <c r="AD261" s="75"/>
      <c r="AE261" s="75"/>
      <c r="AF261" s="75"/>
      <c r="AG261" s="75"/>
      <c r="AH261" s="75"/>
      <c r="AI261" s="75"/>
      <c r="AJ261" s="81"/>
      <c r="AK261" s="75"/>
      <c r="AL261" s="75"/>
    </row>
    <row r="262" spans="1:38" ht="15.75" hidden="1" thickBot="1" x14ac:dyDescent="0.3">
      <c r="A262" s="75"/>
      <c r="B262" s="75"/>
      <c r="C262" s="35">
        <f>INDEX(Données!$F$2:$L$54,MATCH(F262,Données!$F$2:$F$54,0),2)</f>
        <v>44123</v>
      </c>
      <c r="D262" s="29" t="str">
        <f t="shared" si="6"/>
        <v>#6</v>
      </c>
      <c r="E262" s="7">
        <f>Données!I44</f>
        <v>44125</v>
      </c>
      <c r="F262" s="6" t="str">
        <f>INDEX(Données!$F$2:$L$54,MATCH('#6'!E262,Données!$G$2:$G$54,1),1)</f>
        <v>43</v>
      </c>
      <c r="G262" s="18" t="str">
        <f t="shared" si="7"/>
        <v>S.O.</v>
      </c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1"/>
      <c r="W262" s="75"/>
      <c r="X262" s="75"/>
      <c r="Y262" s="75"/>
      <c r="Z262" s="96">
        <f>SUM(Tableau17[[#This Row],[A-1]:[G-5]])</f>
        <v>0</v>
      </c>
      <c r="AA262" s="96" t="str">
        <f>IF(AND(Z262&gt;0,Tableau17[[#This Row],[CDS]]=""),"Oui","Non")</f>
        <v>Non</v>
      </c>
      <c r="AB262" s="75"/>
      <c r="AC262" s="75"/>
      <c r="AD262" s="75"/>
      <c r="AE262" s="75"/>
      <c r="AF262" s="75"/>
      <c r="AG262" s="75"/>
      <c r="AH262" s="75"/>
      <c r="AI262" s="75"/>
      <c r="AJ262" s="81"/>
      <c r="AK262" s="75"/>
      <c r="AL262" s="75"/>
    </row>
    <row r="263" spans="1:38" ht="15.75" hidden="1" thickBot="1" x14ac:dyDescent="0.3">
      <c r="A263" s="75"/>
      <c r="B263" s="75"/>
      <c r="C263" s="35">
        <f>INDEX(Données!$F$2:$L$54,MATCH(F263,Données!$F$2:$F$54,0),2)</f>
        <v>44123</v>
      </c>
      <c r="D263" s="29" t="str">
        <f t="shared" si="6"/>
        <v>#6</v>
      </c>
      <c r="E263" s="7">
        <f>Données!J44</f>
        <v>44126</v>
      </c>
      <c r="F263" s="6" t="str">
        <f>INDEX(Données!$F$2:$L$54,MATCH('#6'!E263,Données!$G$2:$G$54,1),1)</f>
        <v>43</v>
      </c>
      <c r="G263" s="18" t="str">
        <f t="shared" si="7"/>
        <v>S.O.</v>
      </c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1"/>
      <c r="W263" s="75"/>
      <c r="X263" s="75"/>
      <c r="Y263" s="75"/>
      <c r="Z263" s="96">
        <f>SUM(Tableau17[[#This Row],[A-1]:[G-5]])</f>
        <v>0</v>
      </c>
      <c r="AA263" s="96" t="str">
        <f>IF(AND(Z263&gt;0,Tableau17[[#This Row],[CDS]]=""),"Oui","Non")</f>
        <v>Non</v>
      </c>
      <c r="AB263" s="75"/>
      <c r="AC263" s="75"/>
      <c r="AD263" s="75"/>
      <c r="AE263" s="75"/>
      <c r="AF263" s="75"/>
      <c r="AG263" s="75"/>
      <c r="AH263" s="75"/>
      <c r="AI263" s="75"/>
      <c r="AJ263" s="81"/>
      <c r="AK263" s="75"/>
      <c r="AL263" s="75"/>
    </row>
    <row r="264" spans="1:38" ht="15.75" hidden="1" thickBot="1" x14ac:dyDescent="0.3">
      <c r="A264" s="75"/>
      <c r="B264" s="75"/>
      <c r="C264" s="35">
        <f>INDEX(Données!$F$2:$L$54,MATCH(F264,Données!$F$2:$F$54,0),2)</f>
        <v>44123</v>
      </c>
      <c r="D264" s="29" t="str">
        <f t="shared" ref="D264:D325" si="8">$E$4</f>
        <v>#6</v>
      </c>
      <c r="E264" s="7">
        <f>Données!K44</f>
        <v>44127</v>
      </c>
      <c r="F264" s="6" t="str">
        <f>INDEX(Données!$F$2:$L$54,MATCH('#6'!E264,Données!$G$2:$G$54,1),1)</f>
        <v>43</v>
      </c>
      <c r="G264" s="18" t="str">
        <f t="shared" ref="G264:G325" si="9">IF(AND($V$5=1),"PS-1",IF(AND($V$5=2),"PS-2",IF(AND($V$5=4),"PS-4",IF(AND($V$5=6),"S.O.",IF(AND($V$5=5),"")))))</f>
        <v>S.O.</v>
      </c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1"/>
      <c r="W264" s="75"/>
      <c r="X264" s="75"/>
      <c r="Y264" s="75"/>
      <c r="Z264" s="96">
        <f>SUM(Tableau17[[#This Row],[A-1]:[G-5]])</f>
        <v>0</v>
      </c>
      <c r="AA264" s="96" t="str">
        <f>IF(AND(Z264&gt;0,Tableau17[[#This Row],[CDS]]=""),"Oui","Non")</f>
        <v>Non</v>
      </c>
      <c r="AB264" s="75"/>
      <c r="AC264" s="75"/>
      <c r="AD264" s="75"/>
      <c r="AE264" s="75"/>
      <c r="AF264" s="75"/>
      <c r="AG264" s="75"/>
      <c r="AH264" s="75"/>
      <c r="AI264" s="75"/>
      <c r="AJ264" s="81"/>
      <c r="AK264" s="75"/>
      <c r="AL264" s="75"/>
    </row>
    <row r="265" spans="1:38" ht="15.75" hidden="1" thickBot="1" x14ac:dyDescent="0.3">
      <c r="A265" s="75"/>
      <c r="B265" s="75"/>
      <c r="C265" s="35">
        <f>INDEX(Données!$F$2:$L$54,MATCH(F265,Données!$F$2:$F$54,0),2)</f>
        <v>44123</v>
      </c>
      <c r="D265" s="29" t="str">
        <f t="shared" si="8"/>
        <v>#6</v>
      </c>
      <c r="E265" s="7">
        <f>Données!L44</f>
        <v>44128</v>
      </c>
      <c r="F265" s="6" t="str">
        <f>INDEX(Données!$F$2:$L$54,MATCH('#6'!E265,Données!$G$2:$G$54,1),1)</f>
        <v>43</v>
      </c>
      <c r="G265" s="18" t="str">
        <f t="shared" si="9"/>
        <v>S.O.</v>
      </c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1"/>
      <c r="W265" s="75"/>
      <c r="X265" s="75"/>
      <c r="Y265" s="75"/>
      <c r="Z265" s="96">
        <f>SUM(Tableau17[[#This Row],[A-1]:[G-5]])</f>
        <v>0</v>
      </c>
      <c r="AA265" s="96" t="str">
        <f>IF(AND(Z265&gt;0,Tableau17[[#This Row],[CDS]]=""),"Oui","Non")</f>
        <v>Non</v>
      </c>
      <c r="AB265" s="75"/>
      <c r="AC265" s="75"/>
      <c r="AD265" s="75"/>
      <c r="AE265" s="75"/>
      <c r="AF265" s="75"/>
      <c r="AG265" s="75"/>
      <c r="AH265" s="75"/>
      <c r="AI265" s="75"/>
      <c r="AJ265" s="81"/>
      <c r="AK265" s="75"/>
      <c r="AL265" s="75"/>
    </row>
    <row r="266" spans="1:38" ht="15.75" hidden="1" thickBot="1" x14ac:dyDescent="0.3">
      <c r="A266" s="75"/>
      <c r="B266" s="75"/>
      <c r="C266" s="35">
        <f>INDEX(Données!$F$2:$L$54,MATCH(F266,Données!$F$2:$F$54,0),2)</f>
        <v>44130</v>
      </c>
      <c r="D266" s="29" t="str">
        <f t="shared" si="8"/>
        <v>#6</v>
      </c>
      <c r="E266" s="7">
        <f>Données!G45</f>
        <v>44130</v>
      </c>
      <c r="F266" s="6" t="str">
        <f>INDEX(Données!$F$2:$L$54,MATCH('#6'!E266,Données!$G$2:$G$54,1),1)</f>
        <v>44</v>
      </c>
      <c r="G266" s="18" t="str">
        <f t="shared" si="9"/>
        <v>S.O.</v>
      </c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1"/>
      <c r="W266" s="75"/>
      <c r="X266" s="75"/>
      <c r="Y266" s="75"/>
      <c r="Z266" s="96">
        <f>SUM(Tableau17[[#This Row],[A-1]:[G-5]])</f>
        <v>0</v>
      </c>
      <c r="AA266" s="96" t="str">
        <f>IF(AND(Z266&gt;0,Tableau17[[#This Row],[CDS]]=""),"Oui","Non")</f>
        <v>Non</v>
      </c>
      <c r="AB266" s="75"/>
      <c r="AC266" s="75"/>
      <c r="AD266" s="75"/>
      <c r="AE266" s="75"/>
      <c r="AF266" s="75"/>
      <c r="AG266" s="75"/>
      <c r="AH266" s="75"/>
      <c r="AI266" s="75"/>
      <c r="AJ266" s="81"/>
      <c r="AK266" s="75"/>
      <c r="AL266" s="75"/>
    </row>
    <row r="267" spans="1:38" ht="15.75" hidden="1" thickBot="1" x14ac:dyDescent="0.3">
      <c r="A267" s="75"/>
      <c r="B267" s="75"/>
      <c r="C267" s="35">
        <f>INDEX(Données!$F$2:$L$54,MATCH(F267,Données!$F$2:$F$54,0),2)</f>
        <v>44130</v>
      </c>
      <c r="D267" s="29" t="str">
        <f t="shared" si="8"/>
        <v>#6</v>
      </c>
      <c r="E267" s="7">
        <f>Données!H45</f>
        <v>44131</v>
      </c>
      <c r="F267" s="6" t="str">
        <f>INDEX(Données!$F$2:$L$54,MATCH('#6'!E267,Données!$G$2:$G$54,1),1)</f>
        <v>44</v>
      </c>
      <c r="G267" s="18" t="str">
        <f t="shared" si="9"/>
        <v>S.O.</v>
      </c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1"/>
      <c r="W267" s="75"/>
      <c r="X267" s="75"/>
      <c r="Y267" s="75"/>
      <c r="Z267" s="96">
        <f>SUM(Tableau17[[#This Row],[A-1]:[G-5]])</f>
        <v>0</v>
      </c>
      <c r="AA267" s="96" t="str">
        <f>IF(AND(Z267&gt;0,Tableau17[[#This Row],[CDS]]=""),"Oui","Non")</f>
        <v>Non</v>
      </c>
      <c r="AB267" s="75"/>
      <c r="AC267" s="75"/>
      <c r="AD267" s="75"/>
      <c r="AE267" s="75"/>
      <c r="AF267" s="75"/>
      <c r="AG267" s="75"/>
      <c r="AH267" s="75"/>
      <c r="AI267" s="75"/>
      <c r="AJ267" s="81"/>
      <c r="AK267" s="75"/>
      <c r="AL267" s="75"/>
    </row>
    <row r="268" spans="1:38" ht="15.75" hidden="1" thickBot="1" x14ac:dyDescent="0.3">
      <c r="A268" s="75"/>
      <c r="B268" s="75"/>
      <c r="C268" s="35">
        <f>INDEX(Données!$F$2:$L$54,MATCH(F268,Données!$F$2:$F$54,0),2)</f>
        <v>44130</v>
      </c>
      <c r="D268" s="29" t="str">
        <f t="shared" si="8"/>
        <v>#6</v>
      </c>
      <c r="E268" s="7">
        <f>Données!I45</f>
        <v>44132</v>
      </c>
      <c r="F268" s="6" t="str">
        <f>INDEX(Données!$F$2:$L$54,MATCH('#6'!E268,Données!$G$2:$G$54,1),1)</f>
        <v>44</v>
      </c>
      <c r="G268" s="18" t="str">
        <f t="shared" si="9"/>
        <v>S.O.</v>
      </c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1"/>
      <c r="W268" s="75"/>
      <c r="X268" s="75"/>
      <c r="Y268" s="75"/>
      <c r="Z268" s="96">
        <f>SUM(Tableau17[[#This Row],[A-1]:[G-5]])</f>
        <v>0</v>
      </c>
      <c r="AA268" s="96" t="str">
        <f>IF(AND(Z268&gt;0,Tableau17[[#This Row],[CDS]]=""),"Oui","Non")</f>
        <v>Non</v>
      </c>
      <c r="AB268" s="75"/>
      <c r="AC268" s="75"/>
      <c r="AD268" s="75"/>
      <c r="AE268" s="75"/>
      <c r="AF268" s="75"/>
      <c r="AG268" s="75"/>
      <c r="AH268" s="75"/>
      <c r="AI268" s="75"/>
      <c r="AJ268" s="81"/>
      <c r="AK268" s="75"/>
      <c r="AL268" s="75"/>
    </row>
    <row r="269" spans="1:38" ht="15.75" hidden="1" thickBot="1" x14ac:dyDescent="0.3">
      <c r="A269" s="75"/>
      <c r="B269" s="75"/>
      <c r="C269" s="35">
        <f>INDEX(Données!$F$2:$L$54,MATCH(F269,Données!$F$2:$F$54,0),2)</f>
        <v>44130</v>
      </c>
      <c r="D269" s="29" t="str">
        <f t="shared" si="8"/>
        <v>#6</v>
      </c>
      <c r="E269" s="7">
        <f>Données!J45</f>
        <v>44133</v>
      </c>
      <c r="F269" s="6" t="str">
        <f>INDEX(Données!$F$2:$L$54,MATCH('#6'!E269,Données!$G$2:$G$54,1),1)</f>
        <v>44</v>
      </c>
      <c r="G269" s="18" t="str">
        <f t="shared" si="9"/>
        <v>S.O.</v>
      </c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1"/>
      <c r="W269" s="75"/>
      <c r="X269" s="75"/>
      <c r="Y269" s="75"/>
      <c r="Z269" s="96">
        <f>SUM(Tableau17[[#This Row],[A-1]:[G-5]])</f>
        <v>0</v>
      </c>
      <c r="AA269" s="96" t="str">
        <f>IF(AND(Z269&gt;0,Tableau17[[#This Row],[CDS]]=""),"Oui","Non")</f>
        <v>Non</v>
      </c>
      <c r="AB269" s="75"/>
      <c r="AC269" s="75"/>
      <c r="AD269" s="75"/>
      <c r="AE269" s="75"/>
      <c r="AF269" s="75"/>
      <c r="AG269" s="75"/>
      <c r="AH269" s="75"/>
      <c r="AI269" s="75"/>
      <c r="AJ269" s="81"/>
      <c r="AK269" s="75"/>
      <c r="AL269" s="75"/>
    </row>
    <row r="270" spans="1:38" ht="15.75" hidden="1" thickBot="1" x14ac:dyDescent="0.3">
      <c r="A270" s="75"/>
      <c r="B270" s="75"/>
      <c r="C270" s="35">
        <f>INDEX(Données!$F$2:$L$54,MATCH(F270,Données!$F$2:$F$54,0),2)</f>
        <v>44130</v>
      </c>
      <c r="D270" s="29" t="str">
        <f t="shared" si="8"/>
        <v>#6</v>
      </c>
      <c r="E270" s="7">
        <f>Données!K45</f>
        <v>44134</v>
      </c>
      <c r="F270" s="6" t="str">
        <f>INDEX(Données!$F$2:$L$54,MATCH('#6'!E270,Données!$G$2:$G$54,1),1)</f>
        <v>44</v>
      </c>
      <c r="G270" s="18" t="str">
        <f t="shared" si="9"/>
        <v>S.O.</v>
      </c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1"/>
      <c r="W270" s="75"/>
      <c r="X270" s="75"/>
      <c r="Y270" s="75"/>
      <c r="Z270" s="96">
        <f>SUM(Tableau17[[#This Row],[A-1]:[G-5]])</f>
        <v>0</v>
      </c>
      <c r="AA270" s="96" t="str">
        <f>IF(AND(Z270&gt;0,Tableau17[[#This Row],[CDS]]=""),"Oui","Non")</f>
        <v>Non</v>
      </c>
      <c r="AB270" s="75"/>
      <c r="AC270" s="75"/>
      <c r="AD270" s="75"/>
      <c r="AE270" s="75"/>
      <c r="AF270" s="75"/>
      <c r="AG270" s="75"/>
      <c r="AH270" s="75"/>
      <c r="AI270" s="75"/>
      <c r="AJ270" s="81"/>
      <c r="AK270" s="75"/>
      <c r="AL270" s="75"/>
    </row>
    <row r="271" spans="1:38" ht="15.75" hidden="1" thickBot="1" x14ac:dyDescent="0.3">
      <c r="A271" s="75"/>
      <c r="B271" s="75"/>
      <c r="C271" s="35">
        <f>INDEX(Données!$F$2:$L$54,MATCH(F271,Données!$F$2:$F$54,0),2)</f>
        <v>44130</v>
      </c>
      <c r="D271" s="29" t="str">
        <f t="shared" si="8"/>
        <v>#6</v>
      </c>
      <c r="E271" s="7">
        <f>Données!L45</f>
        <v>44135</v>
      </c>
      <c r="F271" s="6" t="str">
        <f>INDEX(Données!$F$2:$L$54,MATCH('#6'!E271,Données!$G$2:$G$54,1),1)</f>
        <v>44</v>
      </c>
      <c r="G271" s="18" t="str">
        <f t="shared" si="9"/>
        <v>S.O.</v>
      </c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1"/>
      <c r="W271" s="75"/>
      <c r="X271" s="75"/>
      <c r="Y271" s="75"/>
      <c r="Z271" s="96">
        <f>SUM(Tableau17[[#This Row],[A-1]:[G-5]])</f>
        <v>0</v>
      </c>
      <c r="AA271" s="96" t="str">
        <f>IF(AND(Z271&gt;0,Tableau17[[#This Row],[CDS]]=""),"Oui","Non")</f>
        <v>Non</v>
      </c>
      <c r="AB271" s="75"/>
      <c r="AC271" s="75"/>
      <c r="AD271" s="75"/>
      <c r="AE271" s="75"/>
      <c r="AF271" s="75"/>
      <c r="AG271" s="75"/>
      <c r="AH271" s="75"/>
      <c r="AI271" s="75"/>
      <c r="AJ271" s="81"/>
      <c r="AK271" s="75"/>
      <c r="AL271" s="75"/>
    </row>
    <row r="272" spans="1:38" ht="15.75" hidden="1" thickBot="1" x14ac:dyDescent="0.3">
      <c r="A272" s="75"/>
      <c r="B272" s="75"/>
      <c r="C272" s="35">
        <f>INDEX(Données!$F$2:$L$54,MATCH(F272,Données!$F$2:$F$54,0),2)</f>
        <v>44137</v>
      </c>
      <c r="D272" s="29" t="str">
        <f t="shared" si="8"/>
        <v>#6</v>
      </c>
      <c r="E272" s="7">
        <f>Données!G46</f>
        <v>44137</v>
      </c>
      <c r="F272" s="6" t="str">
        <f>INDEX(Données!$F$2:$L$54,MATCH('#6'!E272,Données!$G$2:$G$54,1),1)</f>
        <v>45</v>
      </c>
      <c r="G272" s="18" t="str">
        <f t="shared" si="9"/>
        <v>S.O.</v>
      </c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1"/>
      <c r="W272" s="75"/>
      <c r="X272" s="75"/>
      <c r="Y272" s="75"/>
      <c r="Z272" s="96">
        <f>SUM(Tableau17[[#This Row],[A-1]:[G-5]])</f>
        <v>0</v>
      </c>
      <c r="AA272" s="96" t="str">
        <f>IF(AND(Z272&gt;0,Tableau17[[#This Row],[CDS]]=""),"Oui","Non")</f>
        <v>Non</v>
      </c>
      <c r="AB272" s="75"/>
      <c r="AC272" s="75"/>
      <c r="AD272" s="75"/>
      <c r="AE272" s="75"/>
      <c r="AF272" s="75"/>
      <c r="AG272" s="75"/>
      <c r="AH272" s="75"/>
      <c r="AI272" s="75"/>
      <c r="AJ272" s="81"/>
      <c r="AK272" s="75"/>
      <c r="AL272" s="75"/>
    </row>
    <row r="273" spans="1:38" ht="15.75" hidden="1" thickBot="1" x14ac:dyDescent="0.3">
      <c r="A273" s="75"/>
      <c r="B273" s="75"/>
      <c r="C273" s="35">
        <f>INDEX(Données!$F$2:$L$54,MATCH(F273,Données!$F$2:$F$54,0),2)</f>
        <v>44137</v>
      </c>
      <c r="D273" s="29" t="str">
        <f t="shared" si="8"/>
        <v>#6</v>
      </c>
      <c r="E273" s="7">
        <f>Données!H46</f>
        <v>44138</v>
      </c>
      <c r="F273" s="6" t="str">
        <f>INDEX(Données!$F$2:$L$54,MATCH('#6'!E273,Données!$G$2:$G$54,1),1)</f>
        <v>45</v>
      </c>
      <c r="G273" s="18" t="str">
        <f t="shared" si="9"/>
        <v>S.O.</v>
      </c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1"/>
      <c r="W273" s="75"/>
      <c r="X273" s="75"/>
      <c r="Y273" s="75"/>
      <c r="Z273" s="96">
        <f>SUM(Tableau17[[#This Row],[A-1]:[G-5]])</f>
        <v>0</v>
      </c>
      <c r="AA273" s="96" t="str">
        <f>IF(AND(Z273&gt;0,Tableau17[[#This Row],[CDS]]=""),"Oui","Non")</f>
        <v>Non</v>
      </c>
      <c r="AB273" s="75"/>
      <c r="AC273" s="75"/>
      <c r="AD273" s="75"/>
      <c r="AE273" s="75"/>
      <c r="AF273" s="75"/>
      <c r="AG273" s="75"/>
      <c r="AH273" s="75"/>
      <c r="AI273" s="75"/>
      <c r="AJ273" s="81"/>
      <c r="AK273" s="75"/>
      <c r="AL273" s="75"/>
    </row>
    <row r="274" spans="1:38" ht="15.75" hidden="1" thickBot="1" x14ac:dyDescent="0.3">
      <c r="A274" s="75"/>
      <c r="B274" s="75"/>
      <c r="C274" s="35">
        <f>INDEX(Données!$F$2:$L$54,MATCH(F274,Données!$F$2:$F$54,0),2)</f>
        <v>44137</v>
      </c>
      <c r="D274" s="29" t="str">
        <f t="shared" si="8"/>
        <v>#6</v>
      </c>
      <c r="E274" s="7">
        <f>Données!I46</f>
        <v>44139</v>
      </c>
      <c r="F274" s="6" t="str">
        <f>INDEX(Données!$F$2:$L$54,MATCH('#6'!E274,Données!$G$2:$G$54,1),1)</f>
        <v>45</v>
      </c>
      <c r="G274" s="18" t="str">
        <f t="shared" si="9"/>
        <v>S.O.</v>
      </c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1"/>
      <c r="W274" s="75"/>
      <c r="X274" s="75"/>
      <c r="Y274" s="75"/>
      <c r="Z274" s="96">
        <f>SUM(Tableau17[[#This Row],[A-1]:[G-5]])</f>
        <v>0</v>
      </c>
      <c r="AA274" s="96" t="str">
        <f>IF(AND(Z274&gt;0,Tableau17[[#This Row],[CDS]]=""),"Oui","Non")</f>
        <v>Non</v>
      </c>
      <c r="AB274" s="75"/>
      <c r="AC274" s="75"/>
      <c r="AD274" s="75"/>
      <c r="AE274" s="75"/>
      <c r="AF274" s="75"/>
      <c r="AG274" s="75"/>
      <c r="AH274" s="75"/>
      <c r="AI274" s="75"/>
      <c r="AJ274" s="81"/>
      <c r="AK274" s="75"/>
      <c r="AL274" s="75"/>
    </row>
    <row r="275" spans="1:38" ht="15.75" hidden="1" thickBot="1" x14ac:dyDescent="0.3">
      <c r="A275" s="75"/>
      <c r="B275" s="75"/>
      <c r="C275" s="35">
        <f>INDEX(Données!$F$2:$L$54,MATCH(F275,Données!$F$2:$F$54,0),2)</f>
        <v>44137</v>
      </c>
      <c r="D275" s="29" t="str">
        <f t="shared" si="8"/>
        <v>#6</v>
      </c>
      <c r="E275" s="7">
        <f>Données!J46</f>
        <v>44140</v>
      </c>
      <c r="F275" s="6" t="str">
        <f>INDEX(Données!$F$2:$L$54,MATCH('#6'!E275,Données!$G$2:$G$54,1),1)</f>
        <v>45</v>
      </c>
      <c r="G275" s="18" t="str">
        <f t="shared" si="9"/>
        <v>S.O.</v>
      </c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1"/>
      <c r="W275" s="75"/>
      <c r="X275" s="75"/>
      <c r="Y275" s="75"/>
      <c r="Z275" s="96">
        <f>SUM(Tableau17[[#This Row],[A-1]:[G-5]])</f>
        <v>0</v>
      </c>
      <c r="AA275" s="96" t="str">
        <f>IF(AND(Z275&gt;0,Tableau17[[#This Row],[CDS]]=""),"Oui","Non")</f>
        <v>Non</v>
      </c>
      <c r="AB275" s="75"/>
      <c r="AC275" s="75"/>
      <c r="AD275" s="75"/>
      <c r="AE275" s="75"/>
      <c r="AF275" s="75"/>
      <c r="AG275" s="75"/>
      <c r="AH275" s="75"/>
      <c r="AI275" s="75"/>
      <c r="AJ275" s="81"/>
      <c r="AK275" s="75"/>
      <c r="AL275" s="75"/>
    </row>
    <row r="276" spans="1:38" ht="15.75" hidden="1" thickBot="1" x14ac:dyDescent="0.3">
      <c r="A276" s="75"/>
      <c r="B276" s="75"/>
      <c r="C276" s="35">
        <f>INDEX(Données!$F$2:$L$54,MATCH(F276,Données!$F$2:$F$54,0),2)</f>
        <v>44137</v>
      </c>
      <c r="D276" s="29" t="str">
        <f t="shared" si="8"/>
        <v>#6</v>
      </c>
      <c r="E276" s="7">
        <f>Données!K46</f>
        <v>44141</v>
      </c>
      <c r="F276" s="6" t="str">
        <f>INDEX(Données!$F$2:$L$54,MATCH('#6'!E276,Données!$G$2:$G$54,1),1)</f>
        <v>45</v>
      </c>
      <c r="G276" s="18" t="str">
        <f t="shared" si="9"/>
        <v>S.O.</v>
      </c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1"/>
      <c r="W276" s="75"/>
      <c r="X276" s="75"/>
      <c r="Y276" s="75"/>
      <c r="Z276" s="96">
        <f>SUM(Tableau17[[#This Row],[A-1]:[G-5]])</f>
        <v>0</v>
      </c>
      <c r="AA276" s="96" t="str">
        <f>IF(AND(Z276&gt;0,Tableau17[[#This Row],[CDS]]=""),"Oui","Non")</f>
        <v>Non</v>
      </c>
      <c r="AB276" s="75"/>
      <c r="AC276" s="75"/>
      <c r="AD276" s="75"/>
      <c r="AE276" s="75"/>
      <c r="AF276" s="75"/>
      <c r="AG276" s="75"/>
      <c r="AH276" s="75"/>
      <c r="AI276" s="75"/>
      <c r="AJ276" s="81"/>
      <c r="AK276" s="75"/>
      <c r="AL276" s="75"/>
    </row>
    <row r="277" spans="1:38" ht="15.75" hidden="1" thickBot="1" x14ac:dyDescent="0.3">
      <c r="A277" s="75"/>
      <c r="B277" s="75"/>
      <c r="C277" s="35">
        <f>INDEX(Données!$F$2:$L$54,MATCH(F277,Données!$F$2:$F$54,0),2)</f>
        <v>44137</v>
      </c>
      <c r="D277" s="29" t="str">
        <f t="shared" si="8"/>
        <v>#6</v>
      </c>
      <c r="E277" s="7">
        <f>Données!L46</f>
        <v>44142</v>
      </c>
      <c r="F277" s="6" t="str">
        <f>INDEX(Données!$F$2:$L$54,MATCH('#6'!E277,Données!$G$2:$G$54,1),1)</f>
        <v>45</v>
      </c>
      <c r="G277" s="18" t="str">
        <f t="shared" si="9"/>
        <v>S.O.</v>
      </c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1"/>
      <c r="W277" s="75"/>
      <c r="X277" s="75"/>
      <c r="Y277" s="75"/>
      <c r="Z277" s="96">
        <f>SUM(Tableau17[[#This Row],[A-1]:[G-5]])</f>
        <v>0</v>
      </c>
      <c r="AA277" s="96" t="str">
        <f>IF(AND(Z277&gt;0,Tableau17[[#This Row],[CDS]]=""),"Oui","Non")</f>
        <v>Non</v>
      </c>
      <c r="AB277" s="75"/>
      <c r="AC277" s="75"/>
      <c r="AD277" s="75"/>
      <c r="AE277" s="75"/>
      <c r="AF277" s="75"/>
      <c r="AG277" s="75"/>
      <c r="AH277" s="75"/>
      <c r="AI277" s="75"/>
      <c r="AJ277" s="81"/>
      <c r="AK277" s="75"/>
      <c r="AL277" s="75"/>
    </row>
    <row r="278" spans="1:38" ht="15.75" hidden="1" thickBot="1" x14ac:dyDescent="0.3">
      <c r="A278" s="75"/>
      <c r="B278" s="75"/>
      <c r="C278" s="35">
        <f>INDEX(Données!$F$2:$L$54,MATCH(F278,Données!$F$2:$F$54,0),2)</f>
        <v>44144</v>
      </c>
      <c r="D278" s="29" t="str">
        <f t="shared" si="8"/>
        <v>#6</v>
      </c>
      <c r="E278" s="7">
        <f>Données!G47</f>
        <v>44144</v>
      </c>
      <c r="F278" s="6" t="str">
        <f>INDEX(Données!$F$2:$L$54,MATCH('#6'!E278,Données!$G$2:$G$54,1),1)</f>
        <v>46</v>
      </c>
      <c r="G278" s="18" t="str">
        <f t="shared" si="9"/>
        <v>S.O.</v>
      </c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1"/>
      <c r="W278" s="75"/>
      <c r="X278" s="75"/>
      <c r="Y278" s="75"/>
      <c r="Z278" s="96">
        <f>SUM(Tableau17[[#This Row],[A-1]:[G-5]])</f>
        <v>0</v>
      </c>
      <c r="AA278" s="96" t="str">
        <f>IF(AND(Z278&gt;0,Tableau17[[#This Row],[CDS]]=""),"Oui","Non")</f>
        <v>Non</v>
      </c>
      <c r="AB278" s="75"/>
      <c r="AC278" s="75"/>
      <c r="AD278" s="75"/>
      <c r="AE278" s="75"/>
      <c r="AF278" s="75"/>
      <c r="AG278" s="75"/>
      <c r="AH278" s="75"/>
      <c r="AI278" s="75"/>
      <c r="AJ278" s="81"/>
      <c r="AK278" s="75"/>
      <c r="AL278" s="75"/>
    </row>
    <row r="279" spans="1:38" ht="15.75" hidden="1" thickBot="1" x14ac:dyDescent="0.3">
      <c r="A279" s="75"/>
      <c r="B279" s="75"/>
      <c r="C279" s="35">
        <f>INDEX(Données!$F$2:$L$54,MATCH(F279,Données!$F$2:$F$54,0),2)</f>
        <v>44144</v>
      </c>
      <c r="D279" s="29" t="str">
        <f t="shared" si="8"/>
        <v>#6</v>
      </c>
      <c r="E279" s="7">
        <f>Données!H47</f>
        <v>44145</v>
      </c>
      <c r="F279" s="6" t="str">
        <f>INDEX(Données!$F$2:$L$54,MATCH('#6'!E279,Données!$G$2:$G$54,1),1)</f>
        <v>46</v>
      </c>
      <c r="G279" s="18" t="str">
        <f t="shared" si="9"/>
        <v>S.O.</v>
      </c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1"/>
      <c r="W279" s="75"/>
      <c r="X279" s="75"/>
      <c r="Y279" s="75"/>
      <c r="Z279" s="96">
        <f>SUM(Tableau17[[#This Row],[A-1]:[G-5]])</f>
        <v>0</v>
      </c>
      <c r="AA279" s="96" t="str">
        <f>IF(AND(Z279&gt;0,Tableau17[[#This Row],[CDS]]=""),"Oui","Non")</f>
        <v>Non</v>
      </c>
      <c r="AB279" s="75"/>
      <c r="AC279" s="75"/>
      <c r="AD279" s="75"/>
      <c r="AE279" s="75"/>
      <c r="AF279" s="75"/>
      <c r="AG279" s="75"/>
      <c r="AH279" s="75"/>
      <c r="AI279" s="75"/>
      <c r="AJ279" s="81"/>
      <c r="AK279" s="75"/>
      <c r="AL279" s="75"/>
    </row>
    <row r="280" spans="1:38" ht="15.75" hidden="1" thickBot="1" x14ac:dyDescent="0.3">
      <c r="A280" s="75"/>
      <c r="B280" s="75"/>
      <c r="C280" s="35">
        <f>INDEX(Données!$F$2:$L$54,MATCH(F280,Données!$F$2:$F$54,0),2)</f>
        <v>44144</v>
      </c>
      <c r="D280" s="29" t="str">
        <f t="shared" si="8"/>
        <v>#6</v>
      </c>
      <c r="E280" s="7">
        <f>Données!I47</f>
        <v>44146</v>
      </c>
      <c r="F280" s="6" t="str">
        <f>INDEX(Données!$F$2:$L$54,MATCH('#6'!E280,Données!$G$2:$G$54,1),1)</f>
        <v>46</v>
      </c>
      <c r="G280" s="18" t="str">
        <f t="shared" si="9"/>
        <v>S.O.</v>
      </c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1"/>
      <c r="W280" s="75"/>
      <c r="X280" s="75"/>
      <c r="Y280" s="75"/>
      <c r="Z280" s="96">
        <f>SUM(Tableau17[[#This Row],[A-1]:[G-5]])</f>
        <v>0</v>
      </c>
      <c r="AA280" s="96" t="str">
        <f>IF(AND(Z280&gt;0,Tableau17[[#This Row],[CDS]]=""),"Oui","Non")</f>
        <v>Non</v>
      </c>
      <c r="AB280" s="75"/>
      <c r="AC280" s="75"/>
      <c r="AD280" s="75"/>
      <c r="AE280" s="75"/>
      <c r="AF280" s="75"/>
      <c r="AG280" s="75"/>
      <c r="AH280" s="75"/>
      <c r="AI280" s="75"/>
      <c r="AJ280" s="81"/>
      <c r="AK280" s="75"/>
      <c r="AL280" s="75"/>
    </row>
    <row r="281" spans="1:38" ht="15.75" hidden="1" thickBot="1" x14ac:dyDescent="0.3">
      <c r="A281" s="75"/>
      <c r="B281" s="75"/>
      <c r="C281" s="35">
        <f>INDEX(Données!$F$2:$L$54,MATCH(F281,Données!$F$2:$F$54,0),2)</f>
        <v>44144</v>
      </c>
      <c r="D281" s="29" t="str">
        <f t="shared" si="8"/>
        <v>#6</v>
      </c>
      <c r="E281" s="7">
        <f>Données!J47</f>
        <v>44147</v>
      </c>
      <c r="F281" s="6" t="str">
        <f>INDEX(Données!$F$2:$L$54,MATCH('#6'!E281,Données!$G$2:$G$54,1),1)</f>
        <v>46</v>
      </c>
      <c r="G281" s="18" t="str">
        <f t="shared" si="9"/>
        <v>S.O.</v>
      </c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1"/>
      <c r="W281" s="75"/>
      <c r="X281" s="75"/>
      <c r="Y281" s="75"/>
      <c r="Z281" s="96">
        <f>SUM(Tableau17[[#This Row],[A-1]:[G-5]])</f>
        <v>0</v>
      </c>
      <c r="AA281" s="96" t="str">
        <f>IF(AND(Z281&gt;0,Tableau17[[#This Row],[CDS]]=""),"Oui","Non")</f>
        <v>Non</v>
      </c>
      <c r="AB281" s="75"/>
      <c r="AC281" s="75"/>
      <c r="AD281" s="75"/>
      <c r="AE281" s="75"/>
      <c r="AF281" s="75"/>
      <c r="AG281" s="75"/>
      <c r="AH281" s="75"/>
      <c r="AI281" s="75"/>
      <c r="AJ281" s="81"/>
      <c r="AK281" s="75"/>
      <c r="AL281" s="75"/>
    </row>
    <row r="282" spans="1:38" ht="15.75" hidden="1" thickBot="1" x14ac:dyDescent="0.3">
      <c r="A282" s="75"/>
      <c r="B282" s="75"/>
      <c r="C282" s="35">
        <f>INDEX(Données!$F$2:$L$54,MATCH(F282,Données!$F$2:$F$54,0),2)</f>
        <v>44144</v>
      </c>
      <c r="D282" s="29" t="str">
        <f t="shared" si="8"/>
        <v>#6</v>
      </c>
      <c r="E282" s="7">
        <f>Données!K47</f>
        <v>44148</v>
      </c>
      <c r="F282" s="6" t="str">
        <f>INDEX(Données!$F$2:$L$54,MATCH('#6'!E282,Données!$G$2:$G$54,1),1)</f>
        <v>46</v>
      </c>
      <c r="G282" s="18" t="str">
        <f t="shared" si="9"/>
        <v>S.O.</v>
      </c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1"/>
      <c r="W282" s="75"/>
      <c r="X282" s="75"/>
      <c r="Y282" s="75"/>
      <c r="Z282" s="96">
        <f>SUM(Tableau17[[#This Row],[A-1]:[G-5]])</f>
        <v>0</v>
      </c>
      <c r="AA282" s="96" t="str">
        <f>IF(AND(Z282&gt;0,Tableau17[[#This Row],[CDS]]=""),"Oui","Non")</f>
        <v>Non</v>
      </c>
      <c r="AB282" s="75"/>
      <c r="AC282" s="75"/>
      <c r="AD282" s="75"/>
      <c r="AE282" s="75"/>
      <c r="AF282" s="75"/>
      <c r="AG282" s="75"/>
      <c r="AH282" s="75"/>
      <c r="AI282" s="75"/>
      <c r="AJ282" s="81"/>
      <c r="AK282" s="75"/>
      <c r="AL282" s="75"/>
    </row>
    <row r="283" spans="1:38" ht="15.75" hidden="1" thickBot="1" x14ac:dyDescent="0.3">
      <c r="A283" s="75"/>
      <c r="B283" s="75"/>
      <c r="C283" s="35">
        <f>INDEX(Données!$F$2:$L$54,MATCH(F283,Données!$F$2:$F$54,0),2)</f>
        <v>44144</v>
      </c>
      <c r="D283" s="29" t="str">
        <f t="shared" si="8"/>
        <v>#6</v>
      </c>
      <c r="E283" s="7">
        <f>Données!L47</f>
        <v>44149</v>
      </c>
      <c r="F283" s="6" t="str">
        <f>INDEX(Données!$F$2:$L$54,MATCH('#6'!E283,Données!$G$2:$G$54,1),1)</f>
        <v>46</v>
      </c>
      <c r="G283" s="18" t="str">
        <f t="shared" si="9"/>
        <v>S.O.</v>
      </c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1"/>
      <c r="W283" s="75"/>
      <c r="X283" s="75"/>
      <c r="Y283" s="75"/>
      <c r="Z283" s="96">
        <f>SUM(Tableau17[[#This Row],[A-1]:[G-5]])</f>
        <v>0</v>
      </c>
      <c r="AA283" s="96" t="str">
        <f>IF(AND(Z283&gt;0,Tableau17[[#This Row],[CDS]]=""),"Oui","Non")</f>
        <v>Non</v>
      </c>
      <c r="AB283" s="75"/>
      <c r="AC283" s="75"/>
      <c r="AD283" s="75"/>
      <c r="AE283" s="75"/>
      <c r="AF283" s="75"/>
      <c r="AG283" s="75"/>
      <c r="AH283" s="75"/>
      <c r="AI283" s="75"/>
      <c r="AJ283" s="81"/>
      <c r="AK283" s="75"/>
      <c r="AL283" s="75"/>
    </row>
    <row r="284" spans="1:38" ht="15.75" hidden="1" thickBot="1" x14ac:dyDescent="0.3">
      <c r="A284" s="75"/>
      <c r="B284" s="75"/>
      <c r="C284" s="35">
        <f>INDEX(Données!$F$2:$L$54,MATCH(F284,Données!$F$2:$F$54,0),2)</f>
        <v>44151</v>
      </c>
      <c r="D284" s="29" t="str">
        <f t="shared" si="8"/>
        <v>#6</v>
      </c>
      <c r="E284" s="7">
        <f>Données!G48</f>
        <v>44151</v>
      </c>
      <c r="F284" s="6" t="str">
        <f>INDEX(Données!$F$2:$L$54,MATCH('#6'!E284,Données!$G$2:$G$54,1),1)</f>
        <v>47</v>
      </c>
      <c r="G284" s="18" t="str">
        <f t="shared" si="9"/>
        <v>S.O.</v>
      </c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1"/>
      <c r="W284" s="75"/>
      <c r="X284" s="75"/>
      <c r="Y284" s="75"/>
      <c r="Z284" s="96">
        <f>SUM(Tableau17[[#This Row],[A-1]:[G-5]])</f>
        <v>0</v>
      </c>
      <c r="AA284" s="96" t="str">
        <f>IF(AND(Z284&gt;0,Tableau17[[#This Row],[CDS]]=""),"Oui","Non")</f>
        <v>Non</v>
      </c>
      <c r="AB284" s="75"/>
      <c r="AC284" s="75"/>
      <c r="AD284" s="75"/>
      <c r="AE284" s="75"/>
      <c r="AF284" s="75"/>
      <c r="AG284" s="75"/>
      <c r="AH284" s="75"/>
      <c r="AI284" s="75"/>
      <c r="AJ284" s="81"/>
      <c r="AK284" s="75"/>
      <c r="AL284" s="75"/>
    </row>
    <row r="285" spans="1:38" ht="15.75" hidden="1" thickBot="1" x14ac:dyDescent="0.3">
      <c r="A285" s="75"/>
      <c r="B285" s="75"/>
      <c r="C285" s="35">
        <f>INDEX(Données!$F$2:$L$54,MATCH(F285,Données!$F$2:$F$54,0),2)</f>
        <v>44151</v>
      </c>
      <c r="D285" s="29" t="str">
        <f t="shared" si="8"/>
        <v>#6</v>
      </c>
      <c r="E285" s="7">
        <f>Données!H48</f>
        <v>44152</v>
      </c>
      <c r="F285" s="6" t="str">
        <f>INDEX(Données!$F$2:$L$54,MATCH('#6'!E285,Données!$G$2:$G$54,1),1)</f>
        <v>47</v>
      </c>
      <c r="G285" s="18" t="str">
        <f t="shared" si="9"/>
        <v>S.O.</v>
      </c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1"/>
      <c r="W285" s="75"/>
      <c r="X285" s="75"/>
      <c r="Y285" s="75"/>
      <c r="Z285" s="96">
        <f>SUM(Tableau17[[#This Row],[A-1]:[G-5]])</f>
        <v>0</v>
      </c>
      <c r="AA285" s="96" t="str">
        <f>IF(AND(Z285&gt;0,Tableau17[[#This Row],[CDS]]=""),"Oui","Non")</f>
        <v>Non</v>
      </c>
      <c r="AB285" s="75"/>
      <c r="AC285" s="75"/>
      <c r="AD285" s="75"/>
      <c r="AE285" s="75"/>
      <c r="AF285" s="75"/>
      <c r="AG285" s="75"/>
      <c r="AH285" s="75"/>
      <c r="AI285" s="75"/>
      <c r="AJ285" s="81"/>
      <c r="AK285" s="75"/>
      <c r="AL285" s="75"/>
    </row>
    <row r="286" spans="1:38" ht="15.75" hidden="1" thickBot="1" x14ac:dyDescent="0.3">
      <c r="A286" s="75"/>
      <c r="B286" s="75"/>
      <c r="C286" s="35">
        <f>INDEX(Données!$F$2:$L$54,MATCH(F286,Données!$F$2:$F$54,0),2)</f>
        <v>44151</v>
      </c>
      <c r="D286" s="29" t="str">
        <f t="shared" si="8"/>
        <v>#6</v>
      </c>
      <c r="E286" s="7">
        <f>Données!I48</f>
        <v>44153</v>
      </c>
      <c r="F286" s="6" t="str">
        <f>INDEX(Données!$F$2:$L$54,MATCH('#6'!E286,Données!$G$2:$G$54,1),1)</f>
        <v>47</v>
      </c>
      <c r="G286" s="18" t="str">
        <f t="shared" si="9"/>
        <v>S.O.</v>
      </c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1"/>
      <c r="W286" s="75"/>
      <c r="X286" s="75"/>
      <c r="Y286" s="75"/>
      <c r="Z286" s="96">
        <f>SUM(Tableau17[[#This Row],[A-1]:[G-5]])</f>
        <v>0</v>
      </c>
      <c r="AA286" s="96" t="str">
        <f>IF(AND(Z286&gt;0,Tableau17[[#This Row],[CDS]]=""),"Oui","Non")</f>
        <v>Non</v>
      </c>
      <c r="AB286" s="75"/>
      <c r="AC286" s="75"/>
      <c r="AD286" s="75"/>
      <c r="AE286" s="75"/>
      <c r="AF286" s="75"/>
      <c r="AG286" s="75"/>
      <c r="AH286" s="75"/>
      <c r="AI286" s="75"/>
      <c r="AJ286" s="81"/>
      <c r="AK286" s="75"/>
      <c r="AL286" s="75"/>
    </row>
    <row r="287" spans="1:38" ht="15.75" hidden="1" thickBot="1" x14ac:dyDescent="0.3">
      <c r="A287" s="75"/>
      <c r="B287" s="75"/>
      <c r="C287" s="35">
        <f>INDEX(Données!$F$2:$L$54,MATCH(F287,Données!$F$2:$F$54,0),2)</f>
        <v>44151</v>
      </c>
      <c r="D287" s="29" t="str">
        <f t="shared" si="8"/>
        <v>#6</v>
      </c>
      <c r="E287" s="7">
        <f>Données!J48</f>
        <v>44154</v>
      </c>
      <c r="F287" s="6" t="str">
        <f>INDEX(Données!$F$2:$L$54,MATCH('#6'!E287,Données!$G$2:$G$54,1),1)</f>
        <v>47</v>
      </c>
      <c r="G287" s="18" t="str">
        <f t="shared" si="9"/>
        <v>S.O.</v>
      </c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1"/>
      <c r="W287" s="75"/>
      <c r="X287" s="75"/>
      <c r="Y287" s="75"/>
      <c r="Z287" s="96">
        <f>SUM(Tableau17[[#This Row],[A-1]:[G-5]])</f>
        <v>0</v>
      </c>
      <c r="AA287" s="96" t="str">
        <f>IF(AND(Z287&gt;0,Tableau17[[#This Row],[CDS]]=""),"Oui","Non")</f>
        <v>Non</v>
      </c>
      <c r="AB287" s="75"/>
      <c r="AC287" s="75"/>
      <c r="AD287" s="75"/>
      <c r="AE287" s="75"/>
      <c r="AF287" s="75"/>
      <c r="AG287" s="75"/>
      <c r="AH287" s="75"/>
      <c r="AI287" s="75"/>
      <c r="AJ287" s="81"/>
      <c r="AK287" s="75"/>
      <c r="AL287" s="75"/>
    </row>
    <row r="288" spans="1:38" ht="15.75" hidden="1" thickBot="1" x14ac:dyDescent="0.3">
      <c r="A288" s="75"/>
      <c r="B288" s="75"/>
      <c r="C288" s="35">
        <f>INDEX(Données!$F$2:$L$54,MATCH(F288,Données!$F$2:$F$54,0),2)</f>
        <v>44151</v>
      </c>
      <c r="D288" s="29" t="str">
        <f t="shared" si="8"/>
        <v>#6</v>
      </c>
      <c r="E288" s="7">
        <f>Données!K48</f>
        <v>44155</v>
      </c>
      <c r="F288" s="6" t="str">
        <f>INDEX(Données!$F$2:$L$54,MATCH('#6'!E288,Données!$G$2:$G$54,1),1)</f>
        <v>47</v>
      </c>
      <c r="G288" s="18" t="str">
        <f t="shared" si="9"/>
        <v>S.O.</v>
      </c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1"/>
      <c r="W288" s="75"/>
      <c r="X288" s="75"/>
      <c r="Y288" s="75"/>
      <c r="Z288" s="96">
        <f>SUM(Tableau17[[#This Row],[A-1]:[G-5]])</f>
        <v>0</v>
      </c>
      <c r="AA288" s="96" t="str">
        <f>IF(AND(Z288&gt;0,Tableau17[[#This Row],[CDS]]=""),"Oui","Non")</f>
        <v>Non</v>
      </c>
      <c r="AB288" s="75"/>
      <c r="AC288" s="75"/>
      <c r="AD288" s="75"/>
      <c r="AE288" s="75"/>
      <c r="AF288" s="75"/>
      <c r="AG288" s="75"/>
      <c r="AH288" s="75"/>
      <c r="AI288" s="75"/>
      <c r="AJ288" s="81"/>
      <c r="AK288" s="75"/>
      <c r="AL288" s="75"/>
    </row>
    <row r="289" spans="1:38" ht="15.75" hidden="1" thickBot="1" x14ac:dyDescent="0.3">
      <c r="A289" s="75"/>
      <c r="B289" s="75"/>
      <c r="C289" s="35">
        <f>INDEX(Données!$F$2:$L$54,MATCH(F289,Données!$F$2:$F$54,0),2)</f>
        <v>44151</v>
      </c>
      <c r="D289" s="29" t="str">
        <f t="shared" si="8"/>
        <v>#6</v>
      </c>
      <c r="E289" s="7">
        <f>Données!L48</f>
        <v>44156</v>
      </c>
      <c r="F289" s="6" t="str">
        <f>INDEX(Données!$F$2:$L$54,MATCH('#6'!E289,Données!$G$2:$G$54,1),1)</f>
        <v>47</v>
      </c>
      <c r="G289" s="18" t="str">
        <f t="shared" si="9"/>
        <v>S.O.</v>
      </c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1"/>
      <c r="W289" s="75"/>
      <c r="X289" s="75"/>
      <c r="Y289" s="75"/>
      <c r="Z289" s="96">
        <f>SUM(Tableau17[[#This Row],[A-1]:[G-5]])</f>
        <v>0</v>
      </c>
      <c r="AA289" s="96" t="str">
        <f>IF(AND(Z289&gt;0,Tableau17[[#This Row],[CDS]]=""),"Oui","Non")</f>
        <v>Non</v>
      </c>
      <c r="AB289" s="75"/>
      <c r="AC289" s="75"/>
      <c r="AD289" s="75"/>
      <c r="AE289" s="75"/>
      <c r="AF289" s="75"/>
      <c r="AG289" s="75"/>
      <c r="AH289" s="75"/>
      <c r="AI289" s="75"/>
      <c r="AJ289" s="81"/>
      <c r="AK289" s="75"/>
      <c r="AL289" s="75"/>
    </row>
    <row r="290" spans="1:38" ht="15.75" hidden="1" thickBot="1" x14ac:dyDescent="0.3">
      <c r="A290" s="75"/>
      <c r="B290" s="75"/>
      <c r="C290" s="35">
        <f>INDEX(Données!$F$2:$L$54,MATCH(F290,Données!$F$2:$F$54,0),2)</f>
        <v>44158</v>
      </c>
      <c r="D290" s="29" t="str">
        <f t="shared" si="8"/>
        <v>#6</v>
      </c>
      <c r="E290" s="7">
        <f>Données!G49</f>
        <v>44158</v>
      </c>
      <c r="F290" s="6" t="str">
        <f>INDEX(Données!$F$2:$L$54,MATCH('#6'!E290,Données!$G$2:$G$54,1),1)</f>
        <v>48</v>
      </c>
      <c r="G290" s="18" t="str">
        <f t="shared" si="9"/>
        <v>S.O.</v>
      </c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1"/>
      <c r="W290" s="75"/>
      <c r="X290" s="75"/>
      <c r="Y290" s="75"/>
      <c r="Z290" s="96">
        <f>SUM(Tableau17[[#This Row],[A-1]:[G-5]])</f>
        <v>0</v>
      </c>
      <c r="AA290" s="96" t="str">
        <f>IF(AND(Z290&gt;0,Tableau17[[#This Row],[CDS]]=""),"Oui","Non")</f>
        <v>Non</v>
      </c>
      <c r="AB290" s="75"/>
      <c r="AC290" s="75"/>
      <c r="AD290" s="75"/>
      <c r="AE290" s="75"/>
      <c r="AF290" s="75"/>
      <c r="AG290" s="75"/>
      <c r="AH290" s="75"/>
      <c r="AI290" s="75"/>
      <c r="AJ290" s="81"/>
      <c r="AK290" s="75"/>
      <c r="AL290" s="75"/>
    </row>
    <row r="291" spans="1:38" ht="15.75" hidden="1" thickBot="1" x14ac:dyDescent="0.3">
      <c r="A291" s="75"/>
      <c r="B291" s="75"/>
      <c r="C291" s="35">
        <f>INDEX(Données!$F$2:$L$54,MATCH(F291,Données!$F$2:$F$54,0),2)</f>
        <v>44158</v>
      </c>
      <c r="D291" s="29" t="str">
        <f t="shared" si="8"/>
        <v>#6</v>
      </c>
      <c r="E291" s="7">
        <f>Données!H49</f>
        <v>44159</v>
      </c>
      <c r="F291" s="6" t="str">
        <f>INDEX(Données!$F$2:$L$54,MATCH('#6'!E291,Données!$G$2:$G$54,1),1)</f>
        <v>48</v>
      </c>
      <c r="G291" s="18" t="str">
        <f t="shared" si="9"/>
        <v>S.O.</v>
      </c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1"/>
      <c r="W291" s="75"/>
      <c r="X291" s="75"/>
      <c r="Y291" s="75"/>
      <c r="Z291" s="96">
        <f>SUM(Tableau17[[#This Row],[A-1]:[G-5]])</f>
        <v>0</v>
      </c>
      <c r="AA291" s="96" t="str">
        <f>IF(AND(Z291&gt;0,Tableau17[[#This Row],[CDS]]=""),"Oui","Non")</f>
        <v>Non</v>
      </c>
      <c r="AB291" s="75"/>
      <c r="AC291" s="75"/>
      <c r="AD291" s="75"/>
      <c r="AE291" s="75"/>
      <c r="AF291" s="75"/>
      <c r="AG291" s="75"/>
      <c r="AH291" s="75"/>
      <c r="AI291" s="75"/>
      <c r="AJ291" s="81"/>
      <c r="AK291" s="75"/>
      <c r="AL291" s="75"/>
    </row>
    <row r="292" spans="1:38" ht="15.75" hidden="1" thickBot="1" x14ac:dyDescent="0.3">
      <c r="A292" s="75"/>
      <c r="B292" s="75"/>
      <c r="C292" s="35">
        <f>INDEX(Données!$F$2:$L$54,MATCH(F292,Données!$F$2:$F$54,0),2)</f>
        <v>44158</v>
      </c>
      <c r="D292" s="29" t="str">
        <f t="shared" si="8"/>
        <v>#6</v>
      </c>
      <c r="E292" s="7">
        <f>Données!I49</f>
        <v>44160</v>
      </c>
      <c r="F292" s="6" t="str">
        <f>INDEX(Données!$F$2:$L$54,MATCH('#6'!E292,Données!$G$2:$G$54,1),1)</f>
        <v>48</v>
      </c>
      <c r="G292" s="18" t="str">
        <f t="shared" si="9"/>
        <v>S.O.</v>
      </c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1"/>
      <c r="W292" s="75"/>
      <c r="X292" s="75"/>
      <c r="Y292" s="75"/>
      <c r="Z292" s="96">
        <f>SUM(Tableau17[[#This Row],[A-1]:[G-5]])</f>
        <v>0</v>
      </c>
      <c r="AA292" s="96" t="str">
        <f>IF(AND(Z292&gt;0,Tableau17[[#This Row],[CDS]]=""),"Oui","Non")</f>
        <v>Non</v>
      </c>
      <c r="AB292" s="75"/>
      <c r="AC292" s="75"/>
      <c r="AD292" s="75"/>
      <c r="AE292" s="75"/>
      <c r="AF292" s="75"/>
      <c r="AG292" s="75"/>
      <c r="AH292" s="75"/>
      <c r="AI292" s="75"/>
      <c r="AJ292" s="81"/>
      <c r="AK292" s="75"/>
      <c r="AL292" s="75"/>
    </row>
    <row r="293" spans="1:38" ht="15.75" hidden="1" thickBot="1" x14ac:dyDescent="0.3">
      <c r="A293" s="75"/>
      <c r="B293" s="75"/>
      <c r="C293" s="35">
        <f>INDEX(Données!$F$2:$L$54,MATCH(F293,Données!$F$2:$F$54,0),2)</f>
        <v>44158</v>
      </c>
      <c r="D293" s="29" t="str">
        <f t="shared" si="8"/>
        <v>#6</v>
      </c>
      <c r="E293" s="7">
        <f>Données!J49</f>
        <v>44161</v>
      </c>
      <c r="F293" s="6" t="str">
        <f>INDEX(Données!$F$2:$L$54,MATCH('#6'!E293,Données!$G$2:$G$54,1),1)</f>
        <v>48</v>
      </c>
      <c r="G293" s="18" t="str">
        <f t="shared" si="9"/>
        <v>S.O.</v>
      </c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1"/>
      <c r="W293" s="75"/>
      <c r="X293" s="75"/>
      <c r="Y293" s="75"/>
      <c r="Z293" s="96">
        <f>SUM(Tableau17[[#This Row],[A-1]:[G-5]])</f>
        <v>0</v>
      </c>
      <c r="AA293" s="96" t="str">
        <f>IF(AND(Z293&gt;0,Tableau17[[#This Row],[CDS]]=""),"Oui","Non")</f>
        <v>Non</v>
      </c>
      <c r="AB293" s="75"/>
      <c r="AC293" s="75"/>
      <c r="AD293" s="75"/>
      <c r="AE293" s="75"/>
      <c r="AF293" s="75"/>
      <c r="AG293" s="75"/>
      <c r="AH293" s="75"/>
      <c r="AI293" s="75"/>
      <c r="AJ293" s="81"/>
      <c r="AK293" s="75"/>
      <c r="AL293" s="75"/>
    </row>
    <row r="294" spans="1:38" ht="15.75" hidden="1" thickBot="1" x14ac:dyDescent="0.3">
      <c r="A294" s="75"/>
      <c r="B294" s="75"/>
      <c r="C294" s="35">
        <f>INDEX(Données!$F$2:$L$54,MATCH(F294,Données!$F$2:$F$54,0),2)</f>
        <v>44158</v>
      </c>
      <c r="D294" s="29" t="str">
        <f t="shared" si="8"/>
        <v>#6</v>
      </c>
      <c r="E294" s="7">
        <f>Données!K49</f>
        <v>44162</v>
      </c>
      <c r="F294" s="6" t="str">
        <f>INDEX(Données!$F$2:$L$54,MATCH('#6'!E294,Données!$G$2:$G$54,1),1)</f>
        <v>48</v>
      </c>
      <c r="G294" s="18" t="str">
        <f t="shared" si="9"/>
        <v>S.O.</v>
      </c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1"/>
      <c r="W294" s="75"/>
      <c r="X294" s="75"/>
      <c r="Y294" s="75"/>
      <c r="Z294" s="96">
        <f>SUM(Tableau17[[#This Row],[A-1]:[G-5]])</f>
        <v>0</v>
      </c>
      <c r="AA294" s="96" t="str">
        <f>IF(AND(Z294&gt;0,Tableau17[[#This Row],[CDS]]=""),"Oui","Non")</f>
        <v>Non</v>
      </c>
      <c r="AB294" s="75"/>
      <c r="AC294" s="75"/>
      <c r="AD294" s="75"/>
      <c r="AE294" s="75"/>
      <c r="AF294" s="75"/>
      <c r="AG294" s="75"/>
      <c r="AH294" s="75"/>
      <c r="AI294" s="75"/>
      <c r="AJ294" s="81"/>
      <c r="AK294" s="75"/>
      <c r="AL294" s="75"/>
    </row>
    <row r="295" spans="1:38" ht="15.75" hidden="1" thickBot="1" x14ac:dyDescent="0.3">
      <c r="A295" s="75"/>
      <c r="B295" s="75"/>
      <c r="C295" s="35">
        <f>INDEX(Données!$F$2:$L$54,MATCH(F295,Données!$F$2:$F$54,0),2)</f>
        <v>44158</v>
      </c>
      <c r="D295" s="29" t="str">
        <f t="shared" si="8"/>
        <v>#6</v>
      </c>
      <c r="E295" s="7">
        <f>Données!L49</f>
        <v>44163</v>
      </c>
      <c r="F295" s="6" t="str">
        <f>INDEX(Données!$F$2:$L$54,MATCH('#6'!E295,Données!$G$2:$G$54,1),1)</f>
        <v>48</v>
      </c>
      <c r="G295" s="18" t="str">
        <f t="shared" si="9"/>
        <v>S.O.</v>
      </c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1"/>
      <c r="W295" s="75"/>
      <c r="X295" s="75"/>
      <c r="Y295" s="75"/>
      <c r="Z295" s="96">
        <f>SUM(Tableau17[[#This Row],[A-1]:[G-5]])</f>
        <v>0</v>
      </c>
      <c r="AA295" s="96" t="str">
        <f>IF(AND(Z295&gt;0,Tableau17[[#This Row],[CDS]]=""),"Oui","Non")</f>
        <v>Non</v>
      </c>
      <c r="AB295" s="75"/>
      <c r="AC295" s="75"/>
      <c r="AD295" s="75"/>
      <c r="AE295" s="75"/>
      <c r="AF295" s="75"/>
      <c r="AG295" s="75"/>
      <c r="AH295" s="75"/>
      <c r="AI295" s="75"/>
      <c r="AJ295" s="81"/>
      <c r="AK295" s="75"/>
      <c r="AL295" s="75"/>
    </row>
    <row r="296" spans="1:38" ht="15.75" hidden="1" thickBot="1" x14ac:dyDescent="0.3">
      <c r="A296" s="75"/>
      <c r="B296" s="75"/>
      <c r="C296" s="35">
        <f>INDEX(Données!$F$2:$L$54,MATCH(F296,Données!$F$2:$F$54,0),2)</f>
        <v>44165</v>
      </c>
      <c r="D296" s="29" t="str">
        <f t="shared" si="8"/>
        <v>#6</v>
      </c>
      <c r="E296" s="7">
        <f>Données!G50</f>
        <v>44165</v>
      </c>
      <c r="F296" s="6" t="str">
        <f>INDEX(Données!$F$2:$L$54,MATCH('#6'!E296,Données!$G$2:$G$54,1),1)</f>
        <v>49</v>
      </c>
      <c r="G296" s="18" t="str">
        <f t="shared" si="9"/>
        <v>S.O.</v>
      </c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1"/>
      <c r="W296" s="75"/>
      <c r="X296" s="75"/>
      <c r="Y296" s="75"/>
      <c r="Z296" s="96">
        <f>SUM(Tableau17[[#This Row],[A-1]:[G-5]])</f>
        <v>0</v>
      </c>
      <c r="AA296" s="96" t="str">
        <f>IF(AND(Z296&gt;0,Tableau17[[#This Row],[CDS]]=""),"Oui","Non")</f>
        <v>Non</v>
      </c>
      <c r="AB296" s="75"/>
      <c r="AC296" s="75"/>
      <c r="AD296" s="75"/>
      <c r="AE296" s="75"/>
      <c r="AF296" s="75"/>
      <c r="AG296" s="75"/>
      <c r="AH296" s="75"/>
      <c r="AI296" s="75"/>
      <c r="AJ296" s="81"/>
      <c r="AK296" s="75"/>
      <c r="AL296" s="75"/>
    </row>
    <row r="297" spans="1:38" ht="15.75" hidden="1" thickBot="1" x14ac:dyDescent="0.3">
      <c r="A297" s="75"/>
      <c r="B297" s="75"/>
      <c r="C297" s="35">
        <f>INDEX(Données!$F$2:$L$54,MATCH(F297,Données!$F$2:$F$54,0),2)</f>
        <v>44165</v>
      </c>
      <c r="D297" s="29" t="str">
        <f t="shared" si="8"/>
        <v>#6</v>
      </c>
      <c r="E297" s="7">
        <f>Données!H50</f>
        <v>44166</v>
      </c>
      <c r="F297" s="6" t="str">
        <f>INDEX(Données!$F$2:$L$54,MATCH('#6'!E297,Données!$G$2:$G$54,1),1)</f>
        <v>49</v>
      </c>
      <c r="G297" s="18" t="str">
        <f t="shared" si="9"/>
        <v>S.O.</v>
      </c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1"/>
      <c r="W297" s="75"/>
      <c r="X297" s="75"/>
      <c r="Y297" s="75"/>
      <c r="Z297" s="96">
        <f>SUM(Tableau17[[#This Row],[A-1]:[G-5]])</f>
        <v>0</v>
      </c>
      <c r="AA297" s="96" t="str">
        <f>IF(AND(Z297&gt;0,Tableau17[[#This Row],[CDS]]=""),"Oui","Non")</f>
        <v>Non</v>
      </c>
      <c r="AB297" s="75"/>
      <c r="AC297" s="75"/>
      <c r="AD297" s="75"/>
      <c r="AE297" s="75"/>
      <c r="AF297" s="75"/>
      <c r="AG297" s="75"/>
      <c r="AH297" s="75"/>
      <c r="AI297" s="75"/>
      <c r="AJ297" s="81"/>
      <c r="AK297" s="75"/>
      <c r="AL297" s="75"/>
    </row>
    <row r="298" spans="1:38" ht="15.75" hidden="1" thickBot="1" x14ac:dyDescent="0.3">
      <c r="A298" s="75"/>
      <c r="B298" s="75"/>
      <c r="C298" s="35">
        <f>INDEX(Données!$F$2:$L$54,MATCH(F298,Données!$F$2:$F$54,0),2)</f>
        <v>44165</v>
      </c>
      <c r="D298" s="29" t="str">
        <f t="shared" si="8"/>
        <v>#6</v>
      </c>
      <c r="E298" s="7">
        <f>Données!I50</f>
        <v>44167</v>
      </c>
      <c r="F298" s="6" t="str">
        <f>INDEX(Données!$F$2:$L$54,MATCH('#6'!E298,Données!$G$2:$G$54,1),1)</f>
        <v>49</v>
      </c>
      <c r="G298" s="18" t="str">
        <f t="shared" si="9"/>
        <v>S.O.</v>
      </c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1"/>
      <c r="W298" s="75"/>
      <c r="X298" s="75"/>
      <c r="Y298" s="75"/>
      <c r="Z298" s="96">
        <f>SUM(Tableau17[[#This Row],[A-1]:[G-5]])</f>
        <v>0</v>
      </c>
      <c r="AA298" s="96" t="str">
        <f>IF(AND(Z298&gt;0,Tableau17[[#This Row],[CDS]]=""),"Oui","Non")</f>
        <v>Non</v>
      </c>
      <c r="AB298" s="75"/>
      <c r="AC298" s="75"/>
      <c r="AD298" s="75"/>
      <c r="AE298" s="75"/>
      <c r="AF298" s="75"/>
      <c r="AG298" s="75"/>
      <c r="AH298" s="75"/>
      <c r="AI298" s="75"/>
      <c r="AJ298" s="81"/>
      <c r="AK298" s="75"/>
      <c r="AL298" s="75"/>
    </row>
    <row r="299" spans="1:38" ht="15.75" hidden="1" thickBot="1" x14ac:dyDescent="0.3">
      <c r="A299" s="75"/>
      <c r="B299" s="75"/>
      <c r="C299" s="35">
        <f>INDEX(Données!$F$2:$L$54,MATCH(F299,Données!$F$2:$F$54,0),2)</f>
        <v>44165</v>
      </c>
      <c r="D299" s="29" t="str">
        <f t="shared" si="8"/>
        <v>#6</v>
      </c>
      <c r="E299" s="7">
        <f>Données!J50</f>
        <v>44168</v>
      </c>
      <c r="F299" s="6" t="str">
        <f>INDEX(Données!$F$2:$L$54,MATCH('#6'!E299,Données!$G$2:$G$54,1),1)</f>
        <v>49</v>
      </c>
      <c r="G299" s="18" t="str">
        <f t="shared" si="9"/>
        <v>S.O.</v>
      </c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1"/>
      <c r="W299" s="75"/>
      <c r="X299" s="75"/>
      <c r="Y299" s="75"/>
      <c r="Z299" s="96">
        <f>SUM(Tableau17[[#This Row],[A-1]:[G-5]])</f>
        <v>0</v>
      </c>
      <c r="AA299" s="96" t="str">
        <f>IF(AND(Z299&gt;0,Tableau17[[#This Row],[CDS]]=""),"Oui","Non")</f>
        <v>Non</v>
      </c>
      <c r="AB299" s="75"/>
      <c r="AC299" s="75"/>
      <c r="AD299" s="75"/>
      <c r="AE299" s="75"/>
      <c r="AF299" s="75"/>
      <c r="AG299" s="75"/>
      <c r="AH299" s="75"/>
      <c r="AI299" s="75"/>
      <c r="AJ299" s="81"/>
      <c r="AK299" s="75"/>
      <c r="AL299" s="75"/>
    </row>
    <row r="300" spans="1:38" ht="15.75" hidden="1" thickBot="1" x14ac:dyDescent="0.3">
      <c r="A300" s="75"/>
      <c r="B300" s="75"/>
      <c r="C300" s="35">
        <f>INDEX(Données!$F$2:$L$54,MATCH(F300,Données!$F$2:$F$54,0),2)</f>
        <v>44165</v>
      </c>
      <c r="D300" s="29" t="str">
        <f t="shared" si="8"/>
        <v>#6</v>
      </c>
      <c r="E300" s="7">
        <f>Données!K50</f>
        <v>44169</v>
      </c>
      <c r="F300" s="6" t="str">
        <f>INDEX(Données!$F$2:$L$54,MATCH('#6'!E300,Données!$G$2:$G$54,1),1)</f>
        <v>49</v>
      </c>
      <c r="G300" s="18" t="str">
        <f t="shared" si="9"/>
        <v>S.O.</v>
      </c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1"/>
      <c r="W300" s="75"/>
      <c r="X300" s="75"/>
      <c r="Y300" s="75"/>
      <c r="Z300" s="96">
        <f>SUM(Tableau17[[#This Row],[A-1]:[G-5]])</f>
        <v>0</v>
      </c>
      <c r="AA300" s="96" t="str">
        <f>IF(AND(Z300&gt;0,Tableau17[[#This Row],[CDS]]=""),"Oui","Non")</f>
        <v>Non</v>
      </c>
      <c r="AB300" s="75"/>
      <c r="AC300" s="75"/>
      <c r="AD300" s="75"/>
      <c r="AE300" s="75"/>
      <c r="AF300" s="75"/>
      <c r="AG300" s="75"/>
      <c r="AH300" s="75"/>
      <c r="AI300" s="75"/>
      <c r="AJ300" s="81"/>
      <c r="AK300" s="75"/>
      <c r="AL300" s="75"/>
    </row>
    <row r="301" spans="1:38" ht="15.75" hidden="1" thickBot="1" x14ac:dyDescent="0.3">
      <c r="A301" s="75"/>
      <c r="B301" s="75"/>
      <c r="C301" s="35">
        <f>INDEX(Données!$F$2:$L$54,MATCH(F301,Données!$F$2:$F$54,0),2)</f>
        <v>44165</v>
      </c>
      <c r="D301" s="29" t="str">
        <f t="shared" si="8"/>
        <v>#6</v>
      </c>
      <c r="E301" s="7">
        <f>Données!L50</f>
        <v>44170</v>
      </c>
      <c r="F301" s="6" t="str">
        <f>INDEX(Données!$F$2:$L$54,MATCH('#6'!E301,Données!$G$2:$G$54,1),1)</f>
        <v>49</v>
      </c>
      <c r="G301" s="18" t="str">
        <f t="shared" si="9"/>
        <v>S.O.</v>
      </c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1"/>
      <c r="W301" s="75"/>
      <c r="X301" s="75"/>
      <c r="Y301" s="75"/>
      <c r="Z301" s="96">
        <f>SUM(Tableau17[[#This Row],[A-1]:[G-5]])</f>
        <v>0</v>
      </c>
      <c r="AA301" s="96" t="str">
        <f>IF(AND(Z301&gt;0,Tableau17[[#This Row],[CDS]]=""),"Oui","Non")</f>
        <v>Non</v>
      </c>
      <c r="AB301" s="75"/>
      <c r="AC301" s="75"/>
      <c r="AD301" s="75"/>
      <c r="AE301" s="75"/>
      <c r="AF301" s="75"/>
      <c r="AG301" s="75"/>
      <c r="AH301" s="75"/>
      <c r="AI301" s="75"/>
      <c r="AJ301" s="81"/>
      <c r="AK301" s="75"/>
      <c r="AL301" s="75"/>
    </row>
    <row r="302" spans="1:38" ht="15.75" hidden="1" thickBot="1" x14ac:dyDescent="0.3">
      <c r="A302" s="75"/>
      <c r="B302" s="75"/>
      <c r="C302" s="35">
        <f>INDEX(Données!$F$2:$L$54,MATCH(F302,Données!$F$2:$F$54,0),2)</f>
        <v>44172</v>
      </c>
      <c r="D302" s="29" t="str">
        <f t="shared" si="8"/>
        <v>#6</v>
      </c>
      <c r="E302" s="7">
        <f>Données!G51</f>
        <v>44172</v>
      </c>
      <c r="F302" s="6" t="str">
        <f>INDEX(Données!$F$2:$L$54,MATCH('#6'!E302,Données!$G$2:$G$54,1),1)</f>
        <v>50</v>
      </c>
      <c r="G302" s="18" t="str">
        <f t="shared" si="9"/>
        <v>S.O.</v>
      </c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1"/>
      <c r="W302" s="75"/>
      <c r="X302" s="75"/>
      <c r="Y302" s="75"/>
      <c r="Z302" s="96">
        <f>SUM(Tableau17[[#This Row],[A-1]:[G-5]])</f>
        <v>0</v>
      </c>
      <c r="AA302" s="96" t="str">
        <f>IF(AND(Z302&gt;0,Tableau17[[#This Row],[CDS]]=""),"Oui","Non")</f>
        <v>Non</v>
      </c>
      <c r="AB302" s="75"/>
      <c r="AC302" s="75"/>
      <c r="AD302" s="75"/>
      <c r="AE302" s="75"/>
      <c r="AF302" s="75"/>
      <c r="AG302" s="75"/>
      <c r="AH302" s="75"/>
      <c r="AI302" s="75"/>
      <c r="AJ302" s="81"/>
      <c r="AK302" s="75"/>
      <c r="AL302" s="75"/>
    </row>
    <row r="303" spans="1:38" ht="15.75" hidden="1" thickBot="1" x14ac:dyDescent="0.3">
      <c r="A303" s="75"/>
      <c r="B303" s="75"/>
      <c r="C303" s="35">
        <f>INDEX(Données!$F$2:$L$54,MATCH(F303,Données!$F$2:$F$54,0),2)</f>
        <v>44172</v>
      </c>
      <c r="D303" s="29" t="str">
        <f t="shared" si="8"/>
        <v>#6</v>
      </c>
      <c r="E303" s="7">
        <f>Données!H51</f>
        <v>44173</v>
      </c>
      <c r="F303" s="6" t="str">
        <f>INDEX(Données!$F$2:$L$54,MATCH('#6'!E303,Données!$G$2:$G$54,1),1)</f>
        <v>50</v>
      </c>
      <c r="G303" s="18" t="str">
        <f t="shared" si="9"/>
        <v>S.O.</v>
      </c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1"/>
      <c r="W303" s="75"/>
      <c r="X303" s="75"/>
      <c r="Y303" s="75"/>
      <c r="Z303" s="96">
        <f>SUM(Tableau17[[#This Row],[A-1]:[G-5]])</f>
        <v>0</v>
      </c>
      <c r="AA303" s="96" t="str">
        <f>IF(AND(Z303&gt;0,Tableau17[[#This Row],[CDS]]=""),"Oui","Non")</f>
        <v>Non</v>
      </c>
      <c r="AB303" s="75"/>
      <c r="AC303" s="75"/>
      <c r="AD303" s="75"/>
      <c r="AE303" s="75"/>
      <c r="AF303" s="75"/>
      <c r="AG303" s="75"/>
      <c r="AH303" s="75"/>
      <c r="AI303" s="75"/>
      <c r="AJ303" s="81"/>
      <c r="AK303" s="75"/>
      <c r="AL303" s="75"/>
    </row>
    <row r="304" spans="1:38" ht="15.75" hidden="1" thickBot="1" x14ac:dyDescent="0.3">
      <c r="A304" s="75"/>
      <c r="B304" s="75"/>
      <c r="C304" s="35">
        <f>INDEX(Données!$F$2:$L$54,MATCH(F304,Données!$F$2:$F$54,0),2)</f>
        <v>44172</v>
      </c>
      <c r="D304" s="29" t="str">
        <f t="shared" si="8"/>
        <v>#6</v>
      </c>
      <c r="E304" s="7">
        <f>Données!I51</f>
        <v>44174</v>
      </c>
      <c r="F304" s="6" t="str">
        <f>INDEX(Données!$F$2:$L$54,MATCH('#6'!E304,Données!$G$2:$G$54,1),1)</f>
        <v>50</v>
      </c>
      <c r="G304" s="18" t="str">
        <f t="shared" si="9"/>
        <v>S.O.</v>
      </c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1"/>
      <c r="W304" s="75"/>
      <c r="X304" s="75"/>
      <c r="Y304" s="75"/>
      <c r="Z304" s="96">
        <f>SUM(Tableau17[[#This Row],[A-1]:[G-5]])</f>
        <v>0</v>
      </c>
      <c r="AA304" s="96" t="str">
        <f>IF(AND(Z304&gt;0,Tableau17[[#This Row],[CDS]]=""),"Oui","Non")</f>
        <v>Non</v>
      </c>
      <c r="AB304" s="75"/>
      <c r="AC304" s="75"/>
      <c r="AD304" s="75"/>
      <c r="AE304" s="75"/>
      <c r="AF304" s="75"/>
      <c r="AG304" s="75"/>
      <c r="AH304" s="75"/>
      <c r="AI304" s="75"/>
      <c r="AJ304" s="81"/>
      <c r="AK304" s="75"/>
      <c r="AL304" s="75"/>
    </row>
    <row r="305" spans="1:38" ht="15.75" hidden="1" thickBot="1" x14ac:dyDescent="0.3">
      <c r="A305" s="75"/>
      <c r="B305" s="75"/>
      <c r="C305" s="35">
        <f>INDEX(Données!$F$2:$L$54,MATCH(F305,Données!$F$2:$F$54,0),2)</f>
        <v>44172</v>
      </c>
      <c r="D305" s="29" t="str">
        <f t="shared" si="8"/>
        <v>#6</v>
      </c>
      <c r="E305" s="7">
        <f>Données!J51</f>
        <v>44175</v>
      </c>
      <c r="F305" s="6" t="str">
        <f>INDEX(Données!$F$2:$L$54,MATCH('#6'!E305,Données!$G$2:$G$54,1),1)</f>
        <v>50</v>
      </c>
      <c r="G305" s="18" t="str">
        <f t="shared" si="9"/>
        <v>S.O.</v>
      </c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1"/>
      <c r="W305" s="75"/>
      <c r="X305" s="75"/>
      <c r="Y305" s="75"/>
      <c r="Z305" s="96">
        <f>SUM(Tableau17[[#This Row],[A-1]:[G-5]])</f>
        <v>0</v>
      </c>
      <c r="AA305" s="96" t="str">
        <f>IF(AND(Z305&gt;0,Tableau17[[#This Row],[CDS]]=""),"Oui","Non")</f>
        <v>Non</v>
      </c>
      <c r="AB305" s="75"/>
      <c r="AC305" s="75"/>
      <c r="AD305" s="75"/>
      <c r="AE305" s="75"/>
      <c r="AF305" s="75"/>
      <c r="AG305" s="75"/>
      <c r="AH305" s="75"/>
      <c r="AI305" s="75"/>
      <c r="AJ305" s="81"/>
      <c r="AK305" s="75"/>
      <c r="AL305" s="75"/>
    </row>
    <row r="306" spans="1:38" ht="15.75" hidden="1" thickBot="1" x14ac:dyDescent="0.3">
      <c r="A306" s="75"/>
      <c r="B306" s="75"/>
      <c r="C306" s="35">
        <f>INDEX(Données!$F$2:$L$54,MATCH(F306,Données!$F$2:$F$54,0),2)</f>
        <v>44172</v>
      </c>
      <c r="D306" s="29" t="str">
        <f t="shared" si="8"/>
        <v>#6</v>
      </c>
      <c r="E306" s="7">
        <f>Données!K51</f>
        <v>44176</v>
      </c>
      <c r="F306" s="6" t="str">
        <f>INDEX(Données!$F$2:$L$54,MATCH('#6'!E306,Données!$G$2:$G$54,1),1)</f>
        <v>50</v>
      </c>
      <c r="G306" s="18" t="str">
        <f t="shared" si="9"/>
        <v>S.O.</v>
      </c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1"/>
      <c r="W306" s="75"/>
      <c r="X306" s="75"/>
      <c r="Y306" s="75"/>
      <c r="Z306" s="96">
        <f>SUM(Tableau17[[#This Row],[A-1]:[G-5]])</f>
        <v>0</v>
      </c>
      <c r="AA306" s="96" t="str">
        <f>IF(AND(Z306&gt;0,Tableau17[[#This Row],[CDS]]=""),"Oui","Non")</f>
        <v>Non</v>
      </c>
      <c r="AB306" s="75"/>
      <c r="AC306" s="75"/>
      <c r="AD306" s="75"/>
      <c r="AE306" s="75"/>
      <c r="AF306" s="75"/>
      <c r="AG306" s="75"/>
      <c r="AH306" s="75"/>
      <c r="AI306" s="75"/>
      <c r="AJ306" s="81"/>
      <c r="AK306" s="75"/>
      <c r="AL306" s="75"/>
    </row>
    <row r="307" spans="1:38" ht="15.75" hidden="1" thickBot="1" x14ac:dyDescent="0.3">
      <c r="A307" s="75"/>
      <c r="B307" s="75"/>
      <c r="C307" s="35">
        <f>INDEX(Données!$F$2:$L$54,MATCH(F307,Données!$F$2:$F$54,0),2)</f>
        <v>44172</v>
      </c>
      <c r="D307" s="29" t="str">
        <f t="shared" si="8"/>
        <v>#6</v>
      </c>
      <c r="E307" s="7">
        <f>Données!L51</f>
        <v>44177</v>
      </c>
      <c r="F307" s="6" t="str">
        <f>INDEX(Données!$F$2:$L$54,MATCH('#6'!E307,Données!$G$2:$G$54,1),1)</f>
        <v>50</v>
      </c>
      <c r="G307" s="18" t="str">
        <f t="shared" si="9"/>
        <v>S.O.</v>
      </c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1"/>
      <c r="W307" s="75"/>
      <c r="X307" s="75"/>
      <c r="Y307" s="75"/>
      <c r="Z307" s="96">
        <f>SUM(Tableau17[[#This Row],[A-1]:[G-5]])</f>
        <v>0</v>
      </c>
      <c r="AA307" s="96" t="str">
        <f>IF(AND(Z307&gt;0,Tableau17[[#This Row],[CDS]]=""),"Oui","Non")</f>
        <v>Non</v>
      </c>
      <c r="AB307" s="75"/>
      <c r="AC307" s="75"/>
      <c r="AD307" s="75"/>
      <c r="AE307" s="75"/>
      <c r="AF307" s="75"/>
      <c r="AG307" s="75"/>
      <c r="AH307" s="75"/>
      <c r="AI307" s="75"/>
      <c r="AJ307" s="81"/>
      <c r="AK307" s="75"/>
      <c r="AL307" s="75"/>
    </row>
    <row r="308" spans="1:38" ht="15.75" hidden="1" thickBot="1" x14ac:dyDescent="0.3">
      <c r="A308" s="75"/>
      <c r="B308" s="75"/>
      <c r="C308" s="35">
        <f>INDEX(Données!$F$2:$L$54,MATCH(F308,Données!$F$2:$F$54,0),2)</f>
        <v>44179</v>
      </c>
      <c r="D308" s="29" t="str">
        <f t="shared" si="8"/>
        <v>#6</v>
      </c>
      <c r="E308" s="7">
        <f>Données!G52</f>
        <v>44179</v>
      </c>
      <c r="F308" s="6" t="str">
        <f>INDEX(Données!$F$2:$L$54,MATCH('#6'!E308,Données!$G$2:$G$54,1),1)</f>
        <v>51</v>
      </c>
      <c r="G308" s="18" t="str">
        <f t="shared" si="9"/>
        <v>S.O.</v>
      </c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1"/>
      <c r="W308" s="75"/>
      <c r="X308" s="75"/>
      <c r="Y308" s="75"/>
      <c r="Z308" s="96">
        <f>SUM(Tableau17[[#This Row],[A-1]:[G-5]])</f>
        <v>0</v>
      </c>
      <c r="AA308" s="96" t="str">
        <f>IF(AND(Z308&gt;0,Tableau17[[#This Row],[CDS]]=""),"Oui","Non")</f>
        <v>Non</v>
      </c>
      <c r="AB308" s="75"/>
      <c r="AC308" s="75"/>
      <c r="AD308" s="75"/>
      <c r="AE308" s="75"/>
      <c r="AF308" s="75"/>
      <c r="AG308" s="75"/>
      <c r="AH308" s="75"/>
      <c r="AI308" s="75"/>
      <c r="AJ308" s="81"/>
      <c r="AK308" s="75"/>
      <c r="AL308" s="75"/>
    </row>
    <row r="309" spans="1:38" ht="15.75" hidden="1" thickBot="1" x14ac:dyDescent="0.3">
      <c r="A309" s="75"/>
      <c r="B309" s="75"/>
      <c r="C309" s="35">
        <f>INDEX(Données!$F$2:$L$54,MATCH(F309,Données!$F$2:$F$54,0),2)</f>
        <v>44179</v>
      </c>
      <c r="D309" s="29" t="str">
        <f t="shared" si="8"/>
        <v>#6</v>
      </c>
      <c r="E309" s="7">
        <f>Données!H52</f>
        <v>44180</v>
      </c>
      <c r="F309" s="6" t="str">
        <f>INDEX(Données!$F$2:$L$54,MATCH('#6'!E309,Données!$G$2:$G$54,1),1)</f>
        <v>51</v>
      </c>
      <c r="G309" s="18" t="str">
        <f t="shared" si="9"/>
        <v>S.O.</v>
      </c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1"/>
      <c r="W309" s="75"/>
      <c r="X309" s="75"/>
      <c r="Y309" s="75"/>
      <c r="Z309" s="96">
        <f>SUM(Tableau17[[#This Row],[A-1]:[G-5]])</f>
        <v>0</v>
      </c>
      <c r="AA309" s="96" t="str">
        <f>IF(AND(Z309&gt;0,Tableau17[[#This Row],[CDS]]=""),"Oui","Non")</f>
        <v>Non</v>
      </c>
      <c r="AB309" s="75"/>
      <c r="AC309" s="75"/>
      <c r="AD309" s="75"/>
      <c r="AE309" s="75"/>
      <c r="AF309" s="75"/>
      <c r="AG309" s="75"/>
      <c r="AH309" s="75"/>
      <c r="AI309" s="75"/>
      <c r="AJ309" s="81"/>
      <c r="AK309" s="75"/>
      <c r="AL309" s="75"/>
    </row>
    <row r="310" spans="1:38" ht="15.75" hidden="1" thickBot="1" x14ac:dyDescent="0.3">
      <c r="A310" s="75"/>
      <c r="B310" s="75"/>
      <c r="C310" s="35">
        <f>INDEX(Données!$F$2:$L$54,MATCH(F310,Données!$F$2:$F$54,0),2)</f>
        <v>44179</v>
      </c>
      <c r="D310" s="29" t="str">
        <f t="shared" si="8"/>
        <v>#6</v>
      </c>
      <c r="E310" s="7">
        <f>Données!I52</f>
        <v>44181</v>
      </c>
      <c r="F310" s="6" t="str">
        <f>INDEX(Données!$F$2:$L$54,MATCH('#6'!E310,Données!$G$2:$G$54,1),1)</f>
        <v>51</v>
      </c>
      <c r="G310" s="18" t="str">
        <f t="shared" si="9"/>
        <v>S.O.</v>
      </c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1"/>
      <c r="W310" s="75"/>
      <c r="X310" s="75"/>
      <c r="Y310" s="75"/>
      <c r="Z310" s="96">
        <f>SUM(Tableau17[[#This Row],[A-1]:[G-5]])</f>
        <v>0</v>
      </c>
      <c r="AA310" s="96" t="str">
        <f>IF(AND(Z310&gt;0,Tableau17[[#This Row],[CDS]]=""),"Oui","Non")</f>
        <v>Non</v>
      </c>
      <c r="AB310" s="75"/>
      <c r="AC310" s="75"/>
      <c r="AD310" s="75"/>
      <c r="AE310" s="75"/>
      <c r="AF310" s="75"/>
      <c r="AG310" s="75"/>
      <c r="AH310" s="75"/>
      <c r="AI310" s="75"/>
      <c r="AJ310" s="81"/>
      <c r="AK310" s="75"/>
      <c r="AL310" s="75"/>
    </row>
    <row r="311" spans="1:38" ht="15.75" hidden="1" thickBot="1" x14ac:dyDescent="0.3">
      <c r="A311" s="75"/>
      <c r="B311" s="75"/>
      <c r="C311" s="35">
        <f>INDEX(Données!$F$2:$L$54,MATCH(F311,Données!$F$2:$F$54,0),2)</f>
        <v>44179</v>
      </c>
      <c r="D311" s="29" t="str">
        <f t="shared" si="8"/>
        <v>#6</v>
      </c>
      <c r="E311" s="7">
        <f>Données!J52</f>
        <v>44182</v>
      </c>
      <c r="F311" s="6" t="str">
        <f>INDEX(Données!$F$2:$L$54,MATCH('#6'!E311,Données!$G$2:$G$54,1),1)</f>
        <v>51</v>
      </c>
      <c r="G311" s="18" t="str">
        <f t="shared" si="9"/>
        <v>S.O.</v>
      </c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1"/>
      <c r="W311" s="75"/>
      <c r="X311" s="75"/>
      <c r="Y311" s="75"/>
      <c r="Z311" s="96">
        <f>SUM(Tableau17[[#This Row],[A-1]:[G-5]])</f>
        <v>0</v>
      </c>
      <c r="AA311" s="96" t="str">
        <f>IF(AND(Z311&gt;0,Tableau17[[#This Row],[CDS]]=""),"Oui","Non")</f>
        <v>Non</v>
      </c>
      <c r="AB311" s="75"/>
      <c r="AC311" s="75"/>
      <c r="AD311" s="75"/>
      <c r="AE311" s="75"/>
      <c r="AF311" s="75"/>
      <c r="AG311" s="75"/>
      <c r="AH311" s="75"/>
      <c r="AI311" s="75"/>
      <c r="AJ311" s="81"/>
      <c r="AK311" s="75"/>
      <c r="AL311" s="75"/>
    </row>
    <row r="312" spans="1:38" ht="15.75" hidden="1" thickBot="1" x14ac:dyDescent="0.3">
      <c r="A312" s="75"/>
      <c r="B312" s="75"/>
      <c r="C312" s="35">
        <f>INDEX(Données!$F$2:$L$54,MATCH(F312,Données!$F$2:$F$54,0),2)</f>
        <v>44179</v>
      </c>
      <c r="D312" s="29" t="str">
        <f t="shared" si="8"/>
        <v>#6</v>
      </c>
      <c r="E312" s="7">
        <f>Données!K52</f>
        <v>44183</v>
      </c>
      <c r="F312" s="6" t="str">
        <f>INDEX(Données!$F$2:$L$54,MATCH('#6'!E312,Données!$G$2:$G$54,1),1)</f>
        <v>51</v>
      </c>
      <c r="G312" s="18" t="str">
        <f t="shared" si="9"/>
        <v>S.O.</v>
      </c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1"/>
      <c r="W312" s="75"/>
      <c r="X312" s="75"/>
      <c r="Y312" s="75"/>
      <c r="Z312" s="96">
        <f>SUM(Tableau17[[#This Row],[A-1]:[G-5]])</f>
        <v>0</v>
      </c>
      <c r="AA312" s="96" t="str">
        <f>IF(AND(Z312&gt;0,Tableau17[[#This Row],[CDS]]=""),"Oui","Non")</f>
        <v>Non</v>
      </c>
      <c r="AB312" s="75"/>
      <c r="AC312" s="75"/>
      <c r="AD312" s="75"/>
      <c r="AE312" s="75"/>
      <c r="AF312" s="75"/>
      <c r="AG312" s="75"/>
      <c r="AH312" s="75"/>
      <c r="AI312" s="75"/>
      <c r="AJ312" s="81"/>
      <c r="AK312" s="75"/>
      <c r="AL312" s="75"/>
    </row>
    <row r="313" spans="1:38" ht="15.75" hidden="1" thickBot="1" x14ac:dyDescent="0.3">
      <c r="A313" s="75"/>
      <c r="B313" s="75"/>
      <c r="C313" s="35">
        <f>INDEX(Données!$F$2:$L$54,MATCH(F313,Données!$F$2:$F$54,0),2)</f>
        <v>44179</v>
      </c>
      <c r="D313" s="29" t="str">
        <f t="shared" si="8"/>
        <v>#6</v>
      </c>
      <c r="E313" s="7">
        <f>Données!L52</f>
        <v>44184</v>
      </c>
      <c r="F313" s="6" t="str">
        <f>INDEX(Données!$F$2:$L$54,MATCH('#6'!E313,Données!$G$2:$G$54,1),1)</f>
        <v>51</v>
      </c>
      <c r="G313" s="18" t="str">
        <f>IF(AND($V$5=1),"PS-1",IF(AND($V$5=2),"PS-2",IF(AND($V$5=4),"PS-4",IF(AND($V$5=6),"S.O.",IF(AND($V$5=5),"")))))</f>
        <v>S.O.</v>
      </c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1"/>
      <c r="W313" s="75"/>
      <c r="X313" s="75"/>
      <c r="Y313" s="75"/>
      <c r="Z313" s="96">
        <f>SUM(Tableau17[[#This Row],[A-1]:[G-5]])</f>
        <v>0</v>
      </c>
      <c r="AA313" s="96" t="str">
        <f>IF(AND(Z313&gt;0,Tableau17[[#This Row],[CDS]]=""),"Oui","Non")</f>
        <v>Non</v>
      </c>
      <c r="AB313" s="75"/>
      <c r="AC313" s="75"/>
      <c r="AD313" s="75"/>
      <c r="AE313" s="75"/>
      <c r="AF313" s="75"/>
      <c r="AG313" s="75"/>
      <c r="AH313" s="75"/>
      <c r="AI313" s="75"/>
      <c r="AJ313" s="81"/>
      <c r="AK313" s="75"/>
      <c r="AL313" s="75"/>
    </row>
    <row r="314" spans="1:38" ht="15.75" hidden="1" thickBot="1" x14ac:dyDescent="0.3">
      <c r="A314" s="75"/>
      <c r="B314" s="75"/>
      <c r="C314" s="35">
        <f>INDEX(Données!$F$2:$L$54,MATCH(F314,Données!$F$2:$F$54,0),2)</f>
        <v>44186</v>
      </c>
      <c r="D314" s="29" t="str">
        <f t="shared" si="8"/>
        <v>#6</v>
      </c>
      <c r="E314" s="7">
        <f>Données!G53</f>
        <v>44186</v>
      </c>
      <c r="F314" s="6" t="str">
        <f>INDEX(Données!$F$2:$L$54,MATCH('#6'!E314,Données!$G$2:$G$54,1),1)</f>
        <v>52</v>
      </c>
      <c r="G314" s="18" t="str">
        <f t="shared" si="9"/>
        <v>S.O.</v>
      </c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1"/>
      <c r="W314" s="75"/>
      <c r="X314" s="75"/>
      <c r="Y314" s="75"/>
      <c r="Z314" s="96">
        <f>SUM(Tableau17[[#This Row],[A-1]:[G-5]])</f>
        <v>0</v>
      </c>
      <c r="AA314" s="96" t="str">
        <f>IF(AND(Z314&gt;0,Tableau17[[#This Row],[CDS]]=""),"Oui","Non")</f>
        <v>Non</v>
      </c>
      <c r="AB314" s="75"/>
      <c r="AC314" s="75"/>
      <c r="AD314" s="75"/>
      <c r="AE314" s="75"/>
      <c r="AF314" s="75"/>
      <c r="AG314" s="75"/>
      <c r="AH314" s="75"/>
      <c r="AI314" s="75"/>
      <c r="AJ314" s="81"/>
      <c r="AK314" s="75"/>
      <c r="AL314" s="75"/>
    </row>
    <row r="315" spans="1:38" ht="15.75" hidden="1" thickBot="1" x14ac:dyDescent="0.3">
      <c r="A315" s="75"/>
      <c r="B315" s="75"/>
      <c r="C315" s="35">
        <f>INDEX(Données!$F$2:$L$54,MATCH(F315,Données!$F$2:$F$54,0),2)</f>
        <v>44186</v>
      </c>
      <c r="D315" s="29" t="str">
        <f t="shared" si="8"/>
        <v>#6</v>
      </c>
      <c r="E315" s="7">
        <f>Données!H53</f>
        <v>44187</v>
      </c>
      <c r="F315" s="6" t="str">
        <f>INDEX(Données!$F$2:$L$54,MATCH('#6'!E315,Données!$G$2:$G$54,1),1)</f>
        <v>52</v>
      </c>
      <c r="G315" s="18" t="str">
        <f t="shared" si="9"/>
        <v>S.O.</v>
      </c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1"/>
      <c r="W315" s="75"/>
      <c r="X315" s="75"/>
      <c r="Y315" s="75"/>
      <c r="Z315" s="96">
        <f>SUM(Tableau17[[#This Row],[A-1]:[G-5]])</f>
        <v>0</v>
      </c>
      <c r="AA315" s="96" t="str">
        <f>IF(AND(Z315&gt;0,Tableau17[[#This Row],[CDS]]=""),"Oui","Non")</f>
        <v>Non</v>
      </c>
      <c r="AB315" s="75"/>
      <c r="AC315" s="75"/>
      <c r="AD315" s="75"/>
      <c r="AE315" s="75"/>
      <c r="AF315" s="75"/>
      <c r="AG315" s="75"/>
      <c r="AH315" s="75"/>
      <c r="AI315" s="75"/>
      <c r="AJ315" s="81"/>
      <c r="AK315" s="75"/>
      <c r="AL315" s="75"/>
    </row>
    <row r="316" spans="1:38" ht="15.75" hidden="1" thickBot="1" x14ac:dyDescent="0.3">
      <c r="A316" s="75"/>
      <c r="B316" s="75"/>
      <c r="C316" s="35">
        <f>INDEX(Données!$F$2:$L$54,MATCH(F316,Données!$F$2:$F$54,0),2)</f>
        <v>44186</v>
      </c>
      <c r="D316" s="29" t="str">
        <f t="shared" si="8"/>
        <v>#6</v>
      </c>
      <c r="E316" s="7">
        <f>Données!I53</f>
        <v>44188</v>
      </c>
      <c r="F316" s="6" t="str">
        <f>INDEX(Données!$F$2:$L$54,MATCH('#6'!E316,Données!$G$2:$G$54,1),1)</f>
        <v>52</v>
      </c>
      <c r="G316" s="18" t="str">
        <f t="shared" si="9"/>
        <v>S.O.</v>
      </c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1"/>
      <c r="W316" s="75"/>
      <c r="X316" s="75"/>
      <c r="Y316" s="75"/>
      <c r="Z316" s="96">
        <f>SUM(Tableau17[[#This Row],[A-1]:[G-5]])</f>
        <v>0</v>
      </c>
      <c r="AA316" s="96" t="str">
        <f>IF(AND(Z316&gt;0,Tableau17[[#This Row],[CDS]]=""),"Oui","Non")</f>
        <v>Non</v>
      </c>
      <c r="AB316" s="75"/>
      <c r="AC316" s="75"/>
      <c r="AD316" s="75"/>
      <c r="AE316" s="75"/>
      <c r="AF316" s="75"/>
      <c r="AG316" s="75"/>
      <c r="AH316" s="75"/>
      <c r="AI316" s="75"/>
      <c r="AJ316" s="81"/>
      <c r="AK316" s="75"/>
      <c r="AL316" s="75"/>
    </row>
    <row r="317" spans="1:38" ht="15.75" hidden="1" thickBot="1" x14ac:dyDescent="0.3">
      <c r="A317" s="75"/>
      <c r="B317" s="75"/>
      <c r="C317" s="35">
        <f>INDEX(Données!$F$2:$L$54,MATCH(F317,Données!$F$2:$F$54,0),2)</f>
        <v>44186</v>
      </c>
      <c r="D317" s="29" t="str">
        <f t="shared" si="8"/>
        <v>#6</v>
      </c>
      <c r="E317" s="7">
        <f>Données!J53</f>
        <v>44189</v>
      </c>
      <c r="F317" s="6" t="str">
        <f>INDEX(Données!$F$2:$L$54,MATCH('#6'!E317,Données!$G$2:$G$54,1),1)</f>
        <v>52</v>
      </c>
      <c r="G317" s="18" t="str">
        <f t="shared" si="9"/>
        <v>S.O.</v>
      </c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1"/>
      <c r="W317" s="75"/>
      <c r="X317" s="75"/>
      <c r="Y317" s="75"/>
      <c r="Z317" s="96">
        <f>SUM(Tableau17[[#This Row],[A-1]:[G-5]])</f>
        <v>0</v>
      </c>
      <c r="AA317" s="96" t="str">
        <f>IF(AND(Z317&gt;0,Tableau17[[#This Row],[CDS]]=""),"Oui","Non")</f>
        <v>Non</v>
      </c>
      <c r="AB317" s="75"/>
      <c r="AC317" s="75"/>
      <c r="AD317" s="75"/>
      <c r="AE317" s="75"/>
      <c r="AF317" s="75"/>
      <c r="AG317" s="75"/>
      <c r="AH317" s="75"/>
      <c r="AI317" s="75"/>
      <c r="AJ317" s="81"/>
      <c r="AK317" s="75"/>
      <c r="AL317" s="75"/>
    </row>
    <row r="318" spans="1:38" ht="15.75" hidden="1" thickBot="1" x14ac:dyDescent="0.3">
      <c r="A318" s="75"/>
      <c r="B318" s="75"/>
      <c r="C318" s="35">
        <f>INDEX(Données!$F$2:$L$54,MATCH(F318,Données!$F$2:$F$54,0),2)</f>
        <v>44186</v>
      </c>
      <c r="D318" s="29" t="str">
        <f t="shared" si="8"/>
        <v>#6</v>
      </c>
      <c r="E318" s="7">
        <f>Données!K53</f>
        <v>44190</v>
      </c>
      <c r="F318" s="6" t="str">
        <f>INDEX(Données!$F$2:$L$54,MATCH('#6'!E318,Données!$G$2:$G$54,1),1)</f>
        <v>52</v>
      </c>
      <c r="G318" s="18" t="str">
        <f t="shared" si="9"/>
        <v>S.O.</v>
      </c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1"/>
      <c r="W318" s="75"/>
      <c r="X318" s="75"/>
      <c r="Y318" s="75"/>
      <c r="Z318" s="96">
        <f>SUM(Tableau17[[#This Row],[A-1]:[G-5]])</f>
        <v>0</v>
      </c>
      <c r="AA318" s="96" t="str">
        <f>IF(AND(Z318&gt;0,Tableau17[[#This Row],[CDS]]=""),"Oui","Non")</f>
        <v>Non</v>
      </c>
      <c r="AB318" s="75"/>
      <c r="AC318" s="75"/>
      <c r="AD318" s="75"/>
      <c r="AE318" s="75"/>
      <c r="AF318" s="75"/>
      <c r="AG318" s="75"/>
      <c r="AH318" s="75"/>
      <c r="AI318" s="75"/>
      <c r="AJ318" s="81"/>
      <c r="AK318" s="75"/>
      <c r="AL318" s="75"/>
    </row>
    <row r="319" spans="1:38" ht="15.75" hidden="1" thickBot="1" x14ac:dyDescent="0.3">
      <c r="A319" s="75"/>
      <c r="B319" s="75"/>
      <c r="C319" s="35">
        <f>INDEX(Données!$F$2:$L$54,MATCH(F319,Données!$F$2:$F$54,0),2)</f>
        <v>44186</v>
      </c>
      <c r="D319" s="29" t="str">
        <f t="shared" si="8"/>
        <v>#6</v>
      </c>
      <c r="E319" s="7">
        <f>Données!L53</f>
        <v>44191</v>
      </c>
      <c r="F319" s="6" t="str">
        <f>INDEX(Données!$F$2:$L$54,MATCH('#6'!E319,Données!$G$2:$G$54,1),1)</f>
        <v>52</v>
      </c>
      <c r="G319" s="18" t="str">
        <f t="shared" si="9"/>
        <v>S.O.</v>
      </c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1"/>
      <c r="W319" s="75"/>
      <c r="X319" s="75"/>
      <c r="Y319" s="75"/>
      <c r="Z319" s="96">
        <f>SUM(Tableau17[[#This Row],[A-1]:[G-5]])</f>
        <v>0</v>
      </c>
      <c r="AA319" s="96" t="str">
        <f>IF(AND(Z319&gt;0,Tableau17[[#This Row],[CDS]]=""),"Oui","Non")</f>
        <v>Non</v>
      </c>
      <c r="AB319" s="75"/>
      <c r="AC319" s="75"/>
      <c r="AD319" s="75"/>
      <c r="AE319" s="75"/>
      <c r="AF319" s="75"/>
      <c r="AG319" s="75"/>
      <c r="AH319" s="75"/>
      <c r="AI319" s="75"/>
      <c r="AJ319" s="81"/>
      <c r="AK319" s="75"/>
      <c r="AL319" s="75"/>
    </row>
    <row r="320" spans="1:38" ht="15.75" hidden="1" thickBot="1" x14ac:dyDescent="0.3">
      <c r="A320" s="75"/>
      <c r="B320" s="75"/>
      <c r="C320" s="35">
        <f>INDEX(Données!$F$2:$L$54,MATCH(F320,Données!$F$2:$F$54,0),2)</f>
        <v>44193</v>
      </c>
      <c r="D320" s="29" t="str">
        <f t="shared" si="8"/>
        <v>#6</v>
      </c>
      <c r="E320" s="7">
        <f>Données!G54</f>
        <v>44193</v>
      </c>
      <c r="F320" s="6" t="str">
        <f>INDEX(Données!$F$2:$L$54,MATCH('#6'!E320,Données!$G$2:$G$54,1),1)</f>
        <v>53</v>
      </c>
      <c r="G320" s="18" t="str">
        <f t="shared" si="9"/>
        <v>S.O.</v>
      </c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1"/>
      <c r="W320" s="75"/>
      <c r="X320" s="75"/>
      <c r="Y320" s="75"/>
      <c r="Z320" s="96">
        <f>SUM(Tableau17[[#This Row],[A-1]:[G-5]])</f>
        <v>0</v>
      </c>
      <c r="AA320" s="96" t="str">
        <f>IF(AND(Z320&gt;0,Tableau17[[#This Row],[CDS]]=""),"Oui","Non")</f>
        <v>Non</v>
      </c>
      <c r="AB320" s="75"/>
      <c r="AC320" s="75"/>
      <c r="AD320" s="75"/>
      <c r="AE320" s="75"/>
      <c r="AF320" s="75"/>
      <c r="AG320" s="75"/>
      <c r="AH320" s="75"/>
      <c r="AI320" s="75"/>
      <c r="AJ320" s="81"/>
      <c r="AK320" s="75"/>
      <c r="AL320" s="75"/>
    </row>
    <row r="321" spans="1:38" ht="15.75" hidden="1" thickBot="1" x14ac:dyDescent="0.3">
      <c r="A321" s="75"/>
      <c r="B321" s="75"/>
      <c r="C321" s="35">
        <f>INDEX(Données!$F$2:$L$54,MATCH(F321,Données!$F$2:$F$54,0),2)</f>
        <v>44193</v>
      </c>
      <c r="D321" s="29" t="str">
        <f t="shared" si="8"/>
        <v>#6</v>
      </c>
      <c r="E321" s="7">
        <f>Données!H54</f>
        <v>44194</v>
      </c>
      <c r="F321" s="6" t="str">
        <f>INDEX(Données!$F$2:$L$54,MATCH('#6'!E321,Données!$G$2:$G$54,1),1)</f>
        <v>53</v>
      </c>
      <c r="G321" s="18" t="str">
        <f>IF(AND($V$5=1),"PS-1",IF(AND($V$5=2),"PS-2",IF(AND($V$5=4),"PS-4",IF(AND($V$5=6),"S.O.",IF(AND($V$5=5),"")))))</f>
        <v>S.O.</v>
      </c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1"/>
      <c r="W321" s="75"/>
      <c r="X321" s="75"/>
      <c r="Y321" s="75"/>
      <c r="Z321" s="96">
        <f>SUM(Tableau17[[#This Row],[A-1]:[G-5]])</f>
        <v>0</v>
      </c>
      <c r="AA321" s="96" t="str">
        <f>IF(AND(Z321&gt;0,Tableau17[[#This Row],[CDS]]=""),"Oui","Non")</f>
        <v>Non</v>
      </c>
      <c r="AB321" s="75"/>
      <c r="AC321" s="75"/>
      <c r="AD321" s="75"/>
      <c r="AE321" s="75"/>
      <c r="AF321" s="75"/>
      <c r="AG321" s="75"/>
      <c r="AH321" s="75"/>
      <c r="AI321" s="75"/>
      <c r="AJ321" s="81"/>
      <c r="AK321" s="75"/>
      <c r="AL321" s="75"/>
    </row>
    <row r="322" spans="1:38" ht="15.75" hidden="1" thickBot="1" x14ac:dyDescent="0.3">
      <c r="A322" s="75"/>
      <c r="B322" s="75"/>
      <c r="C322" s="35">
        <f>INDEX(Données!$F$2:$L$54,MATCH(F322,Données!$F$2:$F$54,0),2)</f>
        <v>44193</v>
      </c>
      <c r="D322" s="29" t="str">
        <f t="shared" si="8"/>
        <v>#6</v>
      </c>
      <c r="E322" s="7">
        <f>Données!I54</f>
        <v>44195</v>
      </c>
      <c r="F322" s="6" t="str">
        <f>INDEX(Données!$F$2:$L$54,MATCH('#6'!E322,Données!$G$2:$G$54,1),1)</f>
        <v>53</v>
      </c>
      <c r="G322" s="18" t="str">
        <f t="shared" si="9"/>
        <v>S.O.</v>
      </c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1"/>
      <c r="W322" s="75"/>
      <c r="X322" s="75"/>
      <c r="Y322" s="75"/>
      <c r="Z322" s="96">
        <f>SUM(Tableau17[[#This Row],[A-1]:[G-5]])</f>
        <v>0</v>
      </c>
      <c r="AA322" s="96" t="str">
        <f>IF(AND(Z322&gt;0,Tableau17[[#This Row],[CDS]]=""),"Oui","Non")</f>
        <v>Non</v>
      </c>
      <c r="AB322" s="75"/>
      <c r="AC322" s="75"/>
      <c r="AD322" s="75"/>
      <c r="AE322" s="75"/>
      <c r="AF322" s="75"/>
      <c r="AG322" s="75"/>
      <c r="AH322" s="75"/>
      <c r="AI322" s="75"/>
      <c r="AJ322" s="81"/>
      <c r="AK322" s="75"/>
      <c r="AL322" s="75"/>
    </row>
    <row r="323" spans="1:38" ht="15.75" hidden="1" thickBot="1" x14ac:dyDescent="0.3">
      <c r="A323" s="75"/>
      <c r="B323" s="75"/>
      <c r="C323" s="35">
        <f>INDEX(Données!$F$2:$L$54,MATCH(F323,Données!$F$2:$F$54,0),2)</f>
        <v>44193</v>
      </c>
      <c r="D323" s="29" t="str">
        <f t="shared" si="8"/>
        <v>#6</v>
      </c>
      <c r="E323" s="7">
        <f>Données!J54</f>
        <v>44196</v>
      </c>
      <c r="F323" s="6" t="str">
        <f>INDEX(Données!$F$2:$L$54,MATCH('#6'!E323,Données!$G$2:$G$54,1),1)</f>
        <v>53</v>
      </c>
      <c r="G323" s="18" t="str">
        <f t="shared" si="9"/>
        <v>S.O.</v>
      </c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1"/>
      <c r="W323" s="75"/>
      <c r="X323" s="75"/>
      <c r="Y323" s="75"/>
      <c r="Z323" s="96">
        <f>SUM(Tableau17[[#This Row],[A-1]:[G-5]])</f>
        <v>0</v>
      </c>
      <c r="AA323" s="96" t="str">
        <f>IF(AND(Z323&gt;0,Tableau17[[#This Row],[CDS]]=""),"Oui","Non")</f>
        <v>Non</v>
      </c>
      <c r="AB323" s="75"/>
      <c r="AC323" s="75"/>
      <c r="AD323" s="75"/>
      <c r="AE323" s="75"/>
      <c r="AF323" s="75"/>
      <c r="AG323" s="75"/>
      <c r="AH323" s="75"/>
      <c r="AI323" s="75"/>
      <c r="AJ323" s="81"/>
      <c r="AK323" s="75"/>
      <c r="AL323" s="75"/>
    </row>
    <row r="324" spans="1:38" ht="15.75" hidden="1" thickBot="1" x14ac:dyDescent="0.3">
      <c r="A324" s="75"/>
      <c r="B324" s="75"/>
      <c r="C324" s="35">
        <f>INDEX(Données!$F$2:$L$54,MATCH(F324,Données!$F$2:$F$54,0),2)</f>
        <v>44193</v>
      </c>
      <c r="D324" s="29" t="str">
        <f t="shared" si="8"/>
        <v>#6</v>
      </c>
      <c r="E324" s="7">
        <f>Données!K54</f>
        <v>44197</v>
      </c>
      <c r="F324" s="6" t="str">
        <f>INDEX(Données!$F$2:$L$54,MATCH('#6'!E324,Données!$G$2:$G$54,1),1)</f>
        <v>53</v>
      </c>
      <c r="G324" s="18" t="str">
        <f t="shared" si="9"/>
        <v>S.O.</v>
      </c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1"/>
      <c r="W324" s="75"/>
      <c r="X324" s="75"/>
      <c r="Y324" s="75"/>
      <c r="Z324" s="96">
        <f>SUM(Tableau17[[#This Row],[A-1]:[G-5]])</f>
        <v>0</v>
      </c>
      <c r="AA324" s="96" t="str">
        <f>IF(AND(Z324&gt;0,Tableau17[[#This Row],[CDS]]=""),"Oui","Non")</f>
        <v>Non</v>
      </c>
      <c r="AB324" s="75"/>
      <c r="AC324" s="75"/>
      <c r="AD324" s="75"/>
      <c r="AE324" s="75"/>
      <c r="AF324" s="75"/>
      <c r="AG324" s="75"/>
      <c r="AH324" s="75"/>
      <c r="AI324" s="75"/>
      <c r="AJ324" s="81"/>
      <c r="AK324" s="75"/>
      <c r="AL324" s="75"/>
    </row>
    <row r="325" spans="1:38" ht="15.75" hidden="1" thickBot="1" x14ac:dyDescent="0.3">
      <c r="A325" s="75"/>
      <c r="B325" s="75"/>
      <c r="C325" s="35">
        <f>INDEX(Données!$F$2:$L$54,MATCH(F325,Données!$F$2:$F$54,0),2)</f>
        <v>44193</v>
      </c>
      <c r="D325" s="29" t="str">
        <f t="shared" si="8"/>
        <v>#6</v>
      </c>
      <c r="E325" s="8">
        <f>Données!L54</f>
        <v>44198</v>
      </c>
      <c r="F325" s="9" t="str">
        <f>INDEX(Données!$F$2:$L$54,MATCH('#6'!E325,Données!$G$2:$G$54,1),1)</f>
        <v>53</v>
      </c>
      <c r="G325" s="18" t="str">
        <f t="shared" si="9"/>
        <v>S.O.</v>
      </c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3"/>
      <c r="W325" s="75"/>
      <c r="X325" s="75"/>
      <c r="Y325" s="75"/>
      <c r="Z325" s="96">
        <f>SUM(Tableau17[[#This Row],[A-1]:[G-5]])</f>
        <v>0</v>
      </c>
      <c r="AA325" s="96" t="str">
        <f>IF(AND(Z325&gt;0,Tableau17[[#This Row],[CDS]]=""),"Oui","Non")</f>
        <v>Non</v>
      </c>
      <c r="AB325" s="75"/>
      <c r="AC325" s="75"/>
      <c r="AD325" s="75"/>
      <c r="AE325" s="75"/>
      <c r="AF325" s="75"/>
      <c r="AG325" s="75"/>
      <c r="AH325" s="75"/>
      <c r="AI325" s="75"/>
      <c r="AJ325" s="81"/>
      <c r="AK325" s="75"/>
      <c r="AL325" s="75"/>
    </row>
    <row r="326" spans="1:38" x14ac:dyDescent="0.25">
      <c r="A326" s="75"/>
      <c r="B326" s="75"/>
      <c r="C326" s="51"/>
      <c r="D326" s="31"/>
      <c r="E326" s="157" t="s">
        <v>84</v>
      </c>
      <c r="F326" s="158"/>
      <c r="G326" s="159"/>
      <c r="H326" s="11">
        <f>SUMIF(Tableau17[CDS],"S.O.",Tableau17[A-1])</f>
        <v>0</v>
      </c>
      <c r="I326" s="11">
        <f>SUMIF(Tableau17[CDS],"S.O.",Tableau17[B-1])</f>
        <v>0</v>
      </c>
      <c r="J326" s="11">
        <f>SUMIF(Tableau17[CDS],"S.O.",Tableau17[B-2])</f>
        <v>0</v>
      </c>
      <c r="K326" s="11">
        <f>SUMIF(Tableau17[CDS],"S.O.",Tableau17[C-1])</f>
        <v>0</v>
      </c>
      <c r="L326" s="11">
        <f>SUMIF(Tableau17[CDS],"S.O.",Tableau17[C-2])</f>
        <v>0</v>
      </c>
      <c r="M326" s="11">
        <f>SUMIF(Tableau17[CDS],"S.O.",Tableau17[D-1])</f>
        <v>0</v>
      </c>
      <c r="N326" s="11">
        <f>SUMIF(Tableau17[CDS],"S.O.",Tableau17[D-2])</f>
        <v>0</v>
      </c>
      <c r="O326" s="11">
        <f>SUMIF(Tableau17[CDS],"S.O.",Tableau17[E-1])</f>
        <v>0</v>
      </c>
      <c r="P326" s="11">
        <f>SUMIF(Tableau17[CDS],"S.O.",Tableau17[E2])</f>
        <v>0</v>
      </c>
      <c r="Q326" s="11">
        <f>SUMIF(Tableau17[CDS],"S.O.",Tableau17[G-1])</f>
        <v>0</v>
      </c>
      <c r="R326" s="11">
        <f>SUMIF(Tableau17[CDS],"S.O.",Tableau17[G-2])</f>
        <v>0</v>
      </c>
      <c r="S326" s="11">
        <f>SUMIF(Tableau17[CDS],"S.O.",Tableau17[G-3])</f>
        <v>0</v>
      </c>
      <c r="T326" s="11">
        <f>SUMIF(Tableau17[CDS],"S.O.",Tableau17[G-4])</f>
        <v>0</v>
      </c>
      <c r="U326" s="11">
        <f>SUMIF(Tableau17[CDS],"S.O.",Tableau17[G-5])</f>
        <v>0</v>
      </c>
      <c r="V326" s="52"/>
      <c r="W326" s="75"/>
      <c r="X326" s="75"/>
      <c r="Y326" s="75"/>
      <c r="Z326" s="96"/>
      <c r="AA326" s="96"/>
      <c r="AB326" s="75"/>
      <c r="AC326" s="75"/>
      <c r="AD326" s="75"/>
      <c r="AE326" s="75"/>
      <c r="AF326" s="75"/>
      <c r="AG326" s="75"/>
      <c r="AH326" s="75"/>
      <c r="AI326" s="75"/>
      <c r="AJ326" s="81"/>
      <c r="AK326" s="75"/>
      <c r="AL326" s="75"/>
    </row>
    <row r="327" spans="1:38" x14ac:dyDescent="0.25">
      <c r="A327" s="75"/>
      <c r="B327" s="75"/>
      <c r="C327" s="8"/>
      <c r="D327" s="30"/>
      <c r="E327" s="57" t="s">
        <v>121</v>
      </c>
      <c r="F327" s="53"/>
      <c r="G327" s="87"/>
      <c r="H327" s="148">
        <f>SUMIF(Tableau17[CDS],"PS-1",Tableau17[A-1])</f>
        <v>0</v>
      </c>
      <c r="I327" s="148">
        <f>SUMIF(Tableau17[CDS],"PS-1",Tableau17[B-1])</f>
        <v>0</v>
      </c>
      <c r="J327" s="148">
        <f>SUMIF(Tableau17[CDS],"PS-1",Tableau17[B-2])</f>
        <v>0</v>
      </c>
      <c r="K327" s="148">
        <f>SUMIF(Tableau17[CDS],"PS-1",Tableau17[C-1])</f>
        <v>0</v>
      </c>
      <c r="L327" s="148">
        <f>SUMIF(Tableau17[CDS],"PS-1",Tableau17[C-2])</f>
        <v>0</v>
      </c>
      <c r="M327" s="148">
        <f>SUMIF(Tableau17[CDS],"PS-1",Tableau17[D-1])</f>
        <v>0</v>
      </c>
      <c r="N327" s="148">
        <f>SUMIF(Tableau17[CDS],"PS-1",Tableau17[D-2])</f>
        <v>0</v>
      </c>
      <c r="O327" s="148">
        <f>SUMIF(Tableau17[CDS],"PS-1",Tableau17[E-1])</f>
        <v>0</v>
      </c>
      <c r="P327" s="148">
        <f>SUMIF(Tableau17[CDS],"PS-1",Tableau17[E2])</f>
        <v>0</v>
      </c>
      <c r="Q327" s="148">
        <f>SUMIF(Tableau17[CDS],"PS-1",Tableau17[G-1])</f>
        <v>0</v>
      </c>
      <c r="R327" s="148">
        <f>SUMIF(Tableau17[CDS],"PS-1",Tableau17[G-2])</f>
        <v>0</v>
      </c>
      <c r="S327" s="148">
        <f>SUMIF(Tableau17[CDS],"PS-1",Tableau17[G-3])</f>
        <v>0</v>
      </c>
      <c r="T327" s="148">
        <f>SUMIF(Tableau17[CDS],"PS-1",Tableau17[G-4])</f>
        <v>0</v>
      </c>
      <c r="U327" s="148">
        <f>SUMIF(Tableau17[CDS],"PS-1",Tableau17[G-5])</f>
        <v>0</v>
      </c>
      <c r="V327" s="90"/>
      <c r="W327" s="75"/>
      <c r="X327" s="75"/>
      <c r="Y327" s="75"/>
      <c r="Z327" s="96" t="e">
        <f>SUM(Tableau17[[#This Row],[A-1]:[G-5]])</f>
        <v>#VALUE!</v>
      </c>
      <c r="AA327" s="96" t="e">
        <f>IF(AND(Z327&lt;0,Tableau17[[#This Row],[CDS]]=""),"Oui","Non")</f>
        <v>#VALUE!</v>
      </c>
      <c r="AB327" s="75"/>
      <c r="AC327" s="75"/>
      <c r="AD327" s="75"/>
      <c r="AE327" s="75"/>
      <c r="AF327" s="75"/>
      <c r="AG327" s="75"/>
      <c r="AH327" s="75"/>
      <c r="AI327" s="75"/>
      <c r="AJ327" s="81"/>
      <c r="AK327" s="75"/>
      <c r="AL327" s="75"/>
    </row>
    <row r="328" spans="1:38" x14ac:dyDescent="0.25">
      <c r="A328" s="75"/>
      <c r="B328" s="75"/>
      <c r="C328" s="8"/>
      <c r="D328" s="30"/>
      <c r="E328" s="57" t="s">
        <v>122</v>
      </c>
      <c r="F328" s="53"/>
      <c r="G328" s="87"/>
      <c r="H328" s="148">
        <f>SUMIF(Tableau17[CDS],"PS-2",Tableau17[A-1])</f>
        <v>0</v>
      </c>
      <c r="I328" s="148">
        <f>SUMIF(Tableau17[CDS],"PS-2",Tableau17[B-1])</f>
        <v>0</v>
      </c>
      <c r="J328" s="148">
        <f>SUMIF(Tableau17[CDS],"PS-2",Tableau17[B-2])</f>
        <v>0</v>
      </c>
      <c r="K328" s="148">
        <f>SUMIF(Tableau17[CDS],"PS-2",Tableau17[C-1])</f>
        <v>0</v>
      </c>
      <c r="L328" s="148">
        <f>SUMIF(Tableau17[CDS],"PS-2",Tableau17[C-2])</f>
        <v>0</v>
      </c>
      <c r="M328" s="148">
        <f>SUMIF(Tableau17[CDS],"PS-2",Tableau17[D-1])</f>
        <v>0</v>
      </c>
      <c r="N328" s="148">
        <f>SUMIF(Tableau17[CDS],"PS-2",Tableau17[D-2])</f>
        <v>0</v>
      </c>
      <c r="O328" s="148">
        <f>SUMIF(Tableau17[CDS],"PS-2",Tableau17[E-1])</f>
        <v>0</v>
      </c>
      <c r="P328" s="148">
        <f>SUMIF(Tableau17[CDS],"PS-2",Tableau17[E2])</f>
        <v>0</v>
      </c>
      <c r="Q328" s="148">
        <f>SUMIF(Tableau17[CDS],"PS-2",Tableau17[G-1])</f>
        <v>0</v>
      </c>
      <c r="R328" s="148">
        <f>SUMIF(Tableau17[CDS],"PS-2",Tableau17[G-2])</f>
        <v>0</v>
      </c>
      <c r="S328" s="148">
        <f>SUMIF(Tableau17[CDS],"PS-2",Tableau17[G-3])</f>
        <v>0</v>
      </c>
      <c r="T328" s="148">
        <f>SUMIF(Tableau17[CDS],"PS-2",Tableau17[G-4])</f>
        <v>0</v>
      </c>
      <c r="U328" s="148">
        <f>SUMIF(Tableau17[CDS],"PS-2",Tableau17[G-5])</f>
        <v>0</v>
      </c>
      <c r="V328" s="90"/>
      <c r="W328" s="75"/>
      <c r="X328" s="75"/>
      <c r="Y328" s="75"/>
      <c r="Z328" s="96" t="e">
        <f>SUM(Tableau17[[#This Row],[A-1]:[G-5]])</f>
        <v>#VALUE!</v>
      </c>
      <c r="AA328" s="96" t="e">
        <f>IF(AND(Z328&lt;0,Tableau17[[#This Row],[CDS]]=""),"Oui","Non")</f>
        <v>#VALUE!</v>
      </c>
      <c r="AB328" s="75"/>
      <c r="AC328" s="75"/>
      <c r="AD328" s="75"/>
      <c r="AE328" s="75"/>
      <c r="AF328" s="75"/>
      <c r="AG328" s="75"/>
      <c r="AH328" s="75"/>
      <c r="AI328" s="75"/>
      <c r="AJ328" s="81"/>
      <c r="AK328" s="75"/>
      <c r="AL328" s="75"/>
    </row>
    <row r="329" spans="1:38" ht="15.75" thickBot="1" x14ac:dyDescent="0.3">
      <c r="A329" s="75"/>
      <c r="B329" s="75"/>
      <c r="C329" s="35"/>
      <c r="D329" s="29"/>
      <c r="E329" s="59" t="s">
        <v>123</v>
      </c>
      <c r="F329" s="60"/>
      <c r="G329" s="88"/>
      <c r="H329" s="149">
        <f>SUMIF(Tableau17[CDS],"PS-4",Tableau17[A-1])</f>
        <v>0</v>
      </c>
      <c r="I329" s="149">
        <f>SUMIF(Tableau17[CDS],"PS-4",Tableau17[B-1])</f>
        <v>0</v>
      </c>
      <c r="J329" s="148">
        <f>SUMIF(Tableau17[CDS],"PS-4",Tableau17[B-2])</f>
        <v>0</v>
      </c>
      <c r="K329" s="149">
        <f>SUMIF(Tableau17[CDS],"PS-4",Tableau17[C-1])</f>
        <v>0</v>
      </c>
      <c r="L329" s="148">
        <f>SUMIF(Tableau17[CDS],"PS-4",Tableau17[C-2])</f>
        <v>0</v>
      </c>
      <c r="M329" s="148">
        <f>SUMIF(Tableau17[CDS],"PS-4",Tableau17[D-1])</f>
        <v>0</v>
      </c>
      <c r="N329" s="148">
        <f>SUMIF(Tableau17[CDS],"PS-4",Tableau17[D-2])</f>
        <v>0</v>
      </c>
      <c r="O329" s="149">
        <f>SUMIF(Tableau17[CDS],"PS-4",Tableau17[E-1])</f>
        <v>0</v>
      </c>
      <c r="P329" s="149">
        <f>SUMIF(Tableau17[CDS],"PS-4",Tableau17[E2])</f>
        <v>0</v>
      </c>
      <c r="Q329" s="148">
        <f>SUMIF(Tableau17[CDS],"PS-4",Tableau17[G-1])</f>
        <v>0</v>
      </c>
      <c r="R329" s="148">
        <f>SUMIF(Tableau17[CDS],"PS-4",Tableau17[G-2])</f>
        <v>0</v>
      </c>
      <c r="S329" s="148">
        <f>SUMIF(Tableau17[CDS],"PS-4",Tableau17[G-3])</f>
        <v>0</v>
      </c>
      <c r="T329" s="148">
        <f>SUMIF(Tableau17[CDS],"PS-4",Tableau17[G-4])</f>
        <v>0</v>
      </c>
      <c r="U329" s="149">
        <f>SUMIF(Tableau17[CDS],"PS-4",Tableau17[G-5])</f>
        <v>0</v>
      </c>
      <c r="V329" s="91"/>
      <c r="W329" s="75"/>
      <c r="X329" s="75"/>
      <c r="Y329" s="75"/>
      <c r="Z329" s="96" t="e">
        <f>SUM(Tableau17[[#This Row],[A-1]:[G-5]])</f>
        <v>#VALUE!</v>
      </c>
      <c r="AA329" s="96" t="e">
        <f>IF(AND(Z329&lt;0,Tableau17[[#This Row],[CDS]]=""),"Oui","Non")</f>
        <v>#VALUE!</v>
      </c>
      <c r="AB329" s="75"/>
      <c r="AC329" s="75"/>
      <c r="AD329" s="75"/>
      <c r="AE329" s="75"/>
      <c r="AF329" s="75"/>
      <c r="AG329" s="75"/>
      <c r="AH329" s="75"/>
      <c r="AI329" s="75"/>
      <c r="AJ329" s="81"/>
      <c r="AK329" s="75"/>
      <c r="AL329" s="75"/>
    </row>
    <row r="330" spans="1:38" x14ac:dyDescent="0.25">
      <c r="A330" s="75"/>
      <c r="B330" s="75"/>
      <c r="C330" s="35"/>
      <c r="D330" s="31"/>
      <c r="E330" s="61" t="s">
        <v>16</v>
      </c>
      <c r="F330" s="62"/>
      <c r="G330" s="89"/>
      <c r="H330" s="63">
        <f t="shared" ref="H330:U330" si="10">SUM(H326:H329)</f>
        <v>0</v>
      </c>
      <c r="I330" s="63">
        <f t="shared" si="10"/>
        <v>0</v>
      </c>
      <c r="J330" s="63">
        <f>SUM(J326:J329)</f>
        <v>0</v>
      </c>
      <c r="K330" s="63">
        <f t="shared" si="10"/>
        <v>0</v>
      </c>
      <c r="L330" s="63">
        <f t="shared" si="10"/>
        <v>0</v>
      </c>
      <c r="M330" s="63">
        <f t="shared" si="10"/>
        <v>0</v>
      </c>
      <c r="N330" s="63">
        <f t="shared" si="10"/>
        <v>0</v>
      </c>
      <c r="O330" s="63">
        <f t="shared" si="10"/>
        <v>0</v>
      </c>
      <c r="P330" s="63">
        <f t="shared" si="10"/>
        <v>0</v>
      </c>
      <c r="Q330" s="63">
        <f t="shared" si="10"/>
        <v>0</v>
      </c>
      <c r="R330" s="63">
        <f t="shared" si="10"/>
        <v>0</v>
      </c>
      <c r="S330" s="63">
        <f t="shared" si="10"/>
        <v>0</v>
      </c>
      <c r="T330" s="63">
        <f t="shared" si="10"/>
        <v>0</v>
      </c>
      <c r="U330" s="63">
        <f t="shared" si="10"/>
        <v>0</v>
      </c>
      <c r="V330" s="92"/>
      <c r="W330" s="75"/>
      <c r="X330" s="75"/>
      <c r="Y330" s="75"/>
      <c r="Z330" s="96"/>
      <c r="AA330" s="96"/>
      <c r="AB330" s="75"/>
      <c r="AC330" s="75"/>
      <c r="AD330" s="75"/>
      <c r="AE330" s="75"/>
      <c r="AF330" s="75"/>
      <c r="AG330" s="75"/>
      <c r="AH330" s="75"/>
      <c r="AI330" s="75"/>
      <c r="AJ330" s="81"/>
      <c r="AK330" s="75"/>
      <c r="AL330" s="75"/>
    </row>
    <row r="331" spans="1:38" x14ac:dyDescent="0.25">
      <c r="A331" s="75"/>
      <c r="B331" s="75"/>
      <c r="C331" s="36"/>
      <c r="D331" s="37"/>
      <c r="E331" s="58" t="s">
        <v>17</v>
      </c>
      <c r="F331" s="54"/>
      <c r="G331" s="87"/>
      <c r="H331" s="55">
        <f>H5-H330</f>
        <v>10</v>
      </c>
      <c r="I331" s="186">
        <f>I5-J330</f>
        <v>10</v>
      </c>
      <c r="J331" s="187"/>
      <c r="K331" s="186">
        <f>K5-L330</f>
        <v>10</v>
      </c>
      <c r="L331" s="187"/>
      <c r="M331" s="55">
        <f>M5-M330</f>
        <v>10</v>
      </c>
      <c r="N331" s="55">
        <f>M5-N330</f>
        <v>10</v>
      </c>
      <c r="O331" s="186">
        <f>O5-(O330+P330)</f>
        <v>10</v>
      </c>
      <c r="P331" s="187"/>
      <c r="Q331" s="186">
        <f>Q5-SUM(Q330:U330)</f>
        <v>10</v>
      </c>
      <c r="R331" s="190"/>
      <c r="S331" s="190"/>
      <c r="T331" s="190"/>
      <c r="U331" s="187"/>
      <c r="V331" s="90"/>
      <c r="W331" s="75"/>
      <c r="X331" s="75"/>
      <c r="Y331" s="75"/>
      <c r="Z331" s="96"/>
      <c r="AA331" s="96"/>
      <c r="AB331" s="75"/>
      <c r="AC331" s="75"/>
      <c r="AD331" s="75"/>
      <c r="AE331" s="75"/>
      <c r="AF331" s="75"/>
      <c r="AG331" s="75"/>
      <c r="AH331" s="75"/>
      <c r="AI331" s="75"/>
      <c r="AJ331" s="81"/>
      <c r="AK331" s="75"/>
      <c r="AL331" s="75"/>
    </row>
    <row r="332" spans="1:38" ht="30" x14ac:dyDescent="0.25">
      <c r="A332" s="75"/>
      <c r="B332" s="75"/>
      <c r="C332" s="27"/>
      <c r="D332" s="27"/>
      <c r="E332" s="143" t="s">
        <v>86</v>
      </c>
      <c r="F332" s="53"/>
      <c r="G332" s="87"/>
      <c r="H332" s="56">
        <f ca="1">H330/((H5/365)*Données!$B$3)</f>
        <v>0</v>
      </c>
      <c r="I332" s="188">
        <f ca="1">J330/((I5/365)*Données!$B$3)</f>
        <v>0</v>
      </c>
      <c r="J332" s="189"/>
      <c r="K332" s="188">
        <f ca="1">L330/((K5/365)*Données!$B$3)</f>
        <v>0</v>
      </c>
      <c r="L332" s="189"/>
      <c r="M332" s="56">
        <f ca="1">M330/((M5/365)*Données!$B$3)</f>
        <v>0</v>
      </c>
      <c r="N332" s="56">
        <f ca="1">N330/((N5/365)*Données!$B$3)</f>
        <v>0</v>
      </c>
      <c r="O332" s="188">
        <f ca="1">(O330+P330)/((O5/365)*Données!$B$3)</f>
        <v>0</v>
      </c>
      <c r="P332" s="189"/>
      <c r="Q332" s="188">
        <f ca="1">SUM(Q330:U330)/((Q5/365)*Données!$B$3)</f>
        <v>0</v>
      </c>
      <c r="R332" s="191"/>
      <c r="S332" s="191"/>
      <c r="T332" s="191"/>
      <c r="U332" s="189"/>
      <c r="V332" s="93"/>
      <c r="W332" s="75"/>
      <c r="X332" s="75"/>
      <c r="Y332" s="75"/>
      <c r="Z332" s="96"/>
      <c r="AA332" s="96"/>
      <c r="AB332" s="75"/>
      <c r="AC332" s="75"/>
      <c r="AD332" s="75"/>
      <c r="AE332" s="75"/>
      <c r="AF332" s="75"/>
      <c r="AG332" s="75"/>
      <c r="AH332" s="75"/>
      <c r="AI332" s="75"/>
      <c r="AJ332" s="81"/>
      <c r="AK332" s="75"/>
      <c r="AL332" s="75"/>
    </row>
    <row r="333" spans="1:38" ht="30" x14ac:dyDescent="0.25">
      <c r="A333" s="75"/>
      <c r="B333" s="75"/>
      <c r="C333" s="27"/>
      <c r="D333" s="27"/>
      <c r="E333" s="143" t="s">
        <v>87</v>
      </c>
      <c r="F333" s="53"/>
      <c r="G333" s="87"/>
      <c r="H333" s="56">
        <f>H330/H5</f>
        <v>0</v>
      </c>
      <c r="I333" s="188">
        <f>J330/I5</f>
        <v>0</v>
      </c>
      <c r="J333" s="189"/>
      <c r="K333" s="188">
        <f>L330/K5</f>
        <v>0</v>
      </c>
      <c r="L333" s="189"/>
      <c r="M333" s="56">
        <f>M330/M5</f>
        <v>0</v>
      </c>
      <c r="N333" s="56">
        <f>N330/M5</f>
        <v>0</v>
      </c>
      <c r="O333" s="188">
        <f>(O330+P330)/O5</f>
        <v>0</v>
      </c>
      <c r="P333" s="189"/>
      <c r="Q333" s="188">
        <f>SUM(Q330:U330)/Q5</f>
        <v>0</v>
      </c>
      <c r="R333" s="191"/>
      <c r="S333" s="191"/>
      <c r="T333" s="191"/>
      <c r="U333" s="189"/>
      <c r="V333" s="93"/>
      <c r="W333" s="75"/>
      <c r="X333" s="75"/>
      <c r="Y333" s="75"/>
      <c r="Z333" s="96"/>
      <c r="AA333" s="96"/>
      <c r="AB333" s="75"/>
      <c r="AC333" s="75"/>
      <c r="AD333" s="75"/>
      <c r="AE333" s="75"/>
      <c r="AF333" s="75"/>
      <c r="AG333" s="75"/>
      <c r="AH333" s="75"/>
      <c r="AI333" s="75"/>
      <c r="AJ333" s="81"/>
      <c r="AK333" s="75"/>
      <c r="AL333" s="75"/>
    </row>
    <row r="334" spans="1:38" s="49" customFormat="1" x14ac:dyDescent="0.25">
      <c r="A334" s="80"/>
      <c r="B334" s="82"/>
      <c r="C334" s="83"/>
      <c r="D334" s="83"/>
      <c r="E334" s="83"/>
      <c r="F334" s="80"/>
      <c r="G334" s="80"/>
      <c r="H334" s="80"/>
      <c r="I334" s="80"/>
      <c r="J334" s="80"/>
      <c r="K334" s="80"/>
      <c r="L334" s="80"/>
      <c r="M334" s="80"/>
      <c r="N334" s="80"/>
      <c r="O334" s="80"/>
      <c r="P334" s="80"/>
      <c r="Q334" s="80"/>
      <c r="R334" s="80"/>
      <c r="S334" s="80"/>
      <c r="T334" s="80"/>
      <c r="U334" s="80"/>
      <c r="V334" s="84"/>
      <c r="W334" s="80"/>
      <c r="X334" s="80"/>
      <c r="Y334" s="80"/>
      <c r="Z334" s="98"/>
      <c r="AA334" s="98"/>
      <c r="AB334" s="80"/>
      <c r="AC334" s="80"/>
      <c r="AD334" s="80"/>
      <c r="AE334" s="80"/>
      <c r="AF334" s="80"/>
      <c r="AG334" s="80"/>
      <c r="AH334" s="80"/>
      <c r="AI334" s="80"/>
      <c r="AJ334" s="95"/>
      <c r="AK334" s="80"/>
      <c r="AL334" s="80"/>
    </row>
    <row r="335" spans="1:38" s="48" customFormat="1" x14ac:dyDescent="0.25">
      <c r="A335" s="75"/>
      <c r="B335" s="82"/>
      <c r="C335" s="76"/>
      <c r="D335" s="76"/>
      <c r="E335" s="75"/>
      <c r="F335" s="75"/>
      <c r="G335" s="75"/>
      <c r="H335" s="75"/>
      <c r="I335" s="75"/>
      <c r="J335" s="75"/>
      <c r="K335" s="75"/>
      <c r="L335" s="75"/>
      <c r="M335" s="75"/>
      <c r="N335" s="75"/>
      <c r="O335" s="75"/>
      <c r="P335" s="75"/>
      <c r="Q335" s="75"/>
      <c r="R335" s="75"/>
      <c r="S335" s="75"/>
      <c r="T335" s="75"/>
      <c r="U335" s="75"/>
      <c r="V335" s="77"/>
      <c r="W335" s="75"/>
      <c r="X335" s="75"/>
      <c r="Y335" s="75"/>
      <c r="Z335" s="96"/>
      <c r="AA335" s="96"/>
      <c r="AB335" s="75"/>
      <c r="AC335" s="75"/>
      <c r="AD335" s="75"/>
      <c r="AE335" s="75"/>
      <c r="AF335" s="75"/>
      <c r="AG335" s="75"/>
      <c r="AH335" s="75"/>
      <c r="AI335" s="75"/>
      <c r="AJ335" s="81"/>
      <c r="AK335" s="75"/>
      <c r="AL335" s="75"/>
    </row>
    <row r="336" spans="1:38" s="48" customFormat="1" x14ac:dyDescent="0.25">
      <c r="A336" s="75"/>
      <c r="B336" s="82"/>
      <c r="C336" s="76"/>
      <c r="D336" s="76"/>
      <c r="E336" s="75"/>
      <c r="F336" s="75"/>
      <c r="G336" s="75"/>
      <c r="H336" s="75"/>
      <c r="I336" s="75"/>
      <c r="J336" s="75"/>
      <c r="K336" s="75"/>
      <c r="L336" s="75"/>
      <c r="M336" s="75"/>
      <c r="N336" s="75"/>
      <c r="O336" s="75"/>
      <c r="P336" s="75"/>
      <c r="Q336" s="75"/>
      <c r="R336" s="75"/>
      <c r="S336" s="75"/>
      <c r="T336" s="75"/>
      <c r="U336" s="75"/>
      <c r="V336" s="77"/>
      <c r="W336" s="75"/>
      <c r="X336" s="75"/>
      <c r="Y336" s="75"/>
      <c r="Z336" s="96"/>
      <c r="AA336" s="96"/>
      <c r="AB336" s="75"/>
      <c r="AC336" s="75"/>
      <c r="AD336" s="75"/>
      <c r="AE336" s="75"/>
      <c r="AF336" s="75"/>
      <c r="AG336" s="75"/>
      <c r="AH336" s="75"/>
      <c r="AI336" s="75"/>
      <c r="AJ336" s="81"/>
      <c r="AK336" s="75"/>
      <c r="AL336" s="75"/>
    </row>
    <row r="337" spans="1:38" s="48" customFormat="1" x14ac:dyDescent="0.25">
      <c r="A337" s="75"/>
      <c r="B337" s="82"/>
      <c r="C337" s="76"/>
      <c r="D337" s="76"/>
      <c r="E337" s="75"/>
      <c r="F337" s="75"/>
      <c r="G337" s="75"/>
      <c r="H337" s="75"/>
      <c r="I337" s="75"/>
      <c r="J337" s="75"/>
      <c r="K337" s="75"/>
      <c r="L337" s="75"/>
      <c r="M337" s="75"/>
      <c r="N337" s="75"/>
      <c r="O337" s="75"/>
      <c r="P337" s="75"/>
      <c r="Q337" s="75"/>
      <c r="R337" s="75"/>
      <c r="S337" s="75"/>
      <c r="T337" s="75"/>
      <c r="U337" s="75"/>
      <c r="V337" s="77"/>
      <c r="W337" s="75"/>
      <c r="X337" s="75"/>
      <c r="Y337" s="75"/>
      <c r="Z337" s="96"/>
      <c r="AA337" s="96"/>
      <c r="AB337" s="75"/>
      <c r="AC337" s="75"/>
      <c r="AD337" s="75"/>
      <c r="AE337" s="75"/>
      <c r="AF337" s="75"/>
      <c r="AG337" s="75"/>
      <c r="AH337" s="75"/>
      <c r="AI337" s="75"/>
      <c r="AJ337" s="81"/>
      <c r="AK337" s="75"/>
      <c r="AL337" s="75"/>
    </row>
    <row r="338" spans="1:38" s="48" customFormat="1" x14ac:dyDescent="0.25">
      <c r="A338" s="75"/>
      <c r="B338" s="82"/>
      <c r="C338" s="76"/>
      <c r="D338" s="76"/>
      <c r="E338" s="75"/>
      <c r="F338" s="75"/>
      <c r="G338" s="75"/>
      <c r="H338" s="75"/>
      <c r="I338" s="75"/>
      <c r="J338" s="75"/>
      <c r="K338" s="75"/>
      <c r="L338" s="75"/>
      <c r="M338" s="75"/>
      <c r="N338" s="75"/>
      <c r="O338" s="75"/>
      <c r="P338" s="75"/>
      <c r="Q338" s="75"/>
      <c r="R338" s="75"/>
      <c r="S338" s="75"/>
      <c r="T338" s="75"/>
      <c r="U338" s="75"/>
      <c r="V338" s="77"/>
      <c r="W338" s="75"/>
      <c r="X338" s="75"/>
      <c r="Y338" s="75"/>
      <c r="Z338" s="96"/>
      <c r="AA338" s="96"/>
      <c r="AB338" s="75"/>
      <c r="AC338" s="75"/>
      <c r="AD338" s="75"/>
      <c r="AE338" s="75"/>
      <c r="AF338" s="75"/>
      <c r="AG338" s="75"/>
      <c r="AH338" s="75"/>
      <c r="AI338" s="75"/>
      <c r="AJ338" s="81"/>
      <c r="AK338" s="75"/>
      <c r="AL338" s="75"/>
    </row>
    <row r="339" spans="1:38" s="48" customFormat="1" x14ac:dyDescent="0.25">
      <c r="A339" s="75"/>
      <c r="B339" s="82"/>
      <c r="C339" s="85"/>
      <c r="D339" s="85"/>
      <c r="E339" s="75"/>
      <c r="F339" s="75"/>
      <c r="G339" s="75"/>
      <c r="H339" s="75"/>
      <c r="I339" s="75"/>
      <c r="J339" s="75"/>
      <c r="K339" s="75"/>
      <c r="L339" s="75"/>
      <c r="M339" s="75"/>
      <c r="N339" s="75"/>
      <c r="O339" s="75"/>
      <c r="P339" s="75"/>
      <c r="Q339" s="75"/>
      <c r="R339" s="75"/>
      <c r="S339" s="75"/>
      <c r="T339" s="75"/>
      <c r="U339" s="75"/>
      <c r="V339" s="77"/>
      <c r="W339" s="75"/>
      <c r="X339" s="75"/>
      <c r="Y339" s="75"/>
      <c r="Z339" s="78"/>
      <c r="AA339" s="78"/>
      <c r="AB339" s="75"/>
      <c r="AC339" s="75"/>
      <c r="AD339" s="75"/>
      <c r="AE339" s="75"/>
      <c r="AF339" s="75"/>
      <c r="AG339" s="75"/>
      <c r="AH339" s="75"/>
      <c r="AI339" s="75"/>
      <c r="AJ339" s="81"/>
      <c r="AK339" s="75"/>
      <c r="AL339" s="75"/>
    </row>
    <row r="340" spans="1:38" s="48" customFormat="1" x14ac:dyDescent="0.25">
      <c r="A340" s="75"/>
      <c r="B340" s="82"/>
      <c r="C340" s="76"/>
      <c r="D340" s="76"/>
      <c r="E340" s="75"/>
      <c r="F340" s="75"/>
      <c r="G340" s="75"/>
      <c r="H340" s="75"/>
      <c r="I340" s="75"/>
      <c r="J340" s="75"/>
      <c r="K340" s="75"/>
      <c r="L340" s="75"/>
      <c r="M340" s="75"/>
      <c r="N340" s="75"/>
      <c r="O340" s="75"/>
      <c r="P340" s="75"/>
      <c r="Q340" s="75"/>
      <c r="R340" s="75"/>
      <c r="S340" s="75"/>
      <c r="T340" s="75"/>
      <c r="U340" s="75"/>
      <c r="V340" s="77"/>
      <c r="W340" s="75"/>
      <c r="X340" s="75"/>
      <c r="Y340" s="75"/>
      <c r="Z340" s="78"/>
      <c r="AA340" s="78"/>
      <c r="AB340" s="75"/>
      <c r="AC340" s="75"/>
      <c r="AD340" s="75"/>
      <c r="AE340" s="75"/>
      <c r="AF340" s="75"/>
      <c r="AG340" s="75"/>
      <c r="AH340" s="75"/>
      <c r="AI340" s="75"/>
      <c r="AJ340" s="81"/>
      <c r="AK340" s="75"/>
      <c r="AL340" s="75"/>
    </row>
    <row r="341" spans="1:38" s="69" customFormat="1" x14ac:dyDescent="0.25">
      <c r="A341" s="75"/>
      <c r="B341" s="75"/>
      <c r="C341" s="76"/>
      <c r="D341" s="76"/>
      <c r="E341" s="75"/>
      <c r="F341" s="75"/>
      <c r="G341" s="75"/>
      <c r="H341" s="75"/>
      <c r="I341" s="75"/>
      <c r="J341" s="75"/>
      <c r="K341" s="75"/>
      <c r="L341" s="75"/>
      <c r="M341" s="75"/>
      <c r="N341" s="75"/>
      <c r="O341" s="75"/>
      <c r="P341" s="75"/>
      <c r="Q341" s="75"/>
      <c r="R341" s="75"/>
      <c r="S341" s="75"/>
      <c r="T341" s="75"/>
      <c r="U341" s="75"/>
      <c r="V341" s="77"/>
      <c r="W341" s="75"/>
      <c r="X341" s="75"/>
      <c r="Y341" s="75"/>
      <c r="Z341" s="78"/>
      <c r="AA341" s="78"/>
      <c r="AB341" s="75"/>
      <c r="AC341" s="75"/>
      <c r="AD341" s="75"/>
      <c r="AE341" s="75"/>
      <c r="AF341" s="75"/>
      <c r="AG341" s="75"/>
      <c r="AH341" s="75"/>
      <c r="AI341" s="75"/>
      <c r="AJ341" s="81"/>
      <c r="AK341" s="75"/>
      <c r="AL341" s="75"/>
    </row>
    <row r="342" spans="1:38" s="69" customFormat="1" x14ac:dyDescent="0.25">
      <c r="A342" s="75"/>
      <c r="B342" s="75"/>
      <c r="C342" s="76"/>
      <c r="D342" s="76"/>
      <c r="E342" s="75"/>
      <c r="F342" s="75"/>
      <c r="G342" s="75"/>
      <c r="H342" s="75"/>
      <c r="I342" s="75"/>
      <c r="J342" s="75"/>
      <c r="K342" s="75"/>
      <c r="L342" s="75"/>
      <c r="M342" s="75"/>
      <c r="N342" s="75"/>
      <c r="O342" s="75"/>
      <c r="P342" s="75"/>
      <c r="Q342" s="75"/>
      <c r="R342" s="75"/>
      <c r="S342" s="75"/>
      <c r="T342" s="75"/>
      <c r="U342" s="75"/>
      <c r="V342" s="77"/>
      <c r="W342" s="75"/>
      <c r="X342" s="75"/>
      <c r="Y342" s="75"/>
      <c r="Z342" s="78"/>
      <c r="AA342" s="78"/>
      <c r="AB342" s="75"/>
      <c r="AC342" s="75"/>
      <c r="AD342" s="75"/>
      <c r="AE342" s="75"/>
      <c r="AF342" s="75"/>
      <c r="AG342" s="75"/>
      <c r="AH342" s="75"/>
      <c r="AI342" s="75"/>
      <c r="AJ342" s="81"/>
      <c r="AK342" s="75"/>
      <c r="AL342" s="75"/>
    </row>
    <row r="343" spans="1:38" s="69" customFormat="1" x14ac:dyDescent="0.25">
      <c r="A343" s="75"/>
      <c r="B343" s="75"/>
      <c r="C343" s="76"/>
      <c r="D343" s="76"/>
      <c r="E343" s="75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7"/>
      <c r="W343" s="75"/>
      <c r="X343" s="75"/>
      <c r="Y343" s="75"/>
      <c r="Z343" s="78"/>
      <c r="AA343" s="78"/>
      <c r="AB343" s="75"/>
      <c r="AC343" s="75"/>
      <c r="AD343" s="75"/>
      <c r="AE343" s="75"/>
      <c r="AF343" s="75"/>
      <c r="AG343" s="75"/>
      <c r="AH343" s="75"/>
      <c r="AI343" s="75"/>
      <c r="AJ343" s="81"/>
      <c r="AK343" s="75"/>
      <c r="AL343" s="75"/>
    </row>
    <row r="344" spans="1:38" s="69" customFormat="1" x14ac:dyDescent="0.25">
      <c r="A344" s="75"/>
      <c r="B344" s="75"/>
      <c r="C344" s="76"/>
      <c r="D344" s="76"/>
      <c r="E344" s="75"/>
      <c r="F344" s="75"/>
      <c r="G344" s="75"/>
      <c r="H344" s="75"/>
      <c r="I344" s="75"/>
      <c r="J344" s="75"/>
      <c r="K344" s="75"/>
      <c r="L344" s="75"/>
      <c r="M344" s="75"/>
      <c r="N344" s="75"/>
      <c r="O344" s="75"/>
      <c r="P344" s="75"/>
      <c r="Q344" s="75"/>
      <c r="R344" s="75"/>
      <c r="S344" s="75"/>
      <c r="T344" s="75"/>
      <c r="U344" s="75"/>
      <c r="V344" s="77"/>
      <c r="W344" s="75"/>
      <c r="X344" s="75"/>
      <c r="Y344" s="75"/>
      <c r="Z344" s="78"/>
      <c r="AA344" s="78"/>
      <c r="AB344" s="75"/>
      <c r="AC344" s="75"/>
      <c r="AD344" s="75"/>
      <c r="AE344" s="75"/>
      <c r="AF344" s="75"/>
      <c r="AG344" s="75"/>
      <c r="AH344" s="75"/>
      <c r="AI344" s="75"/>
      <c r="AJ344" s="81"/>
      <c r="AK344" s="75"/>
      <c r="AL344" s="75"/>
    </row>
    <row r="345" spans="1:38" s="69" customFormat="1" x14ac:dyDescent="0.25">
      <c r="A345" s="75"/>
      <c r="B345" s="75"/>
      <c r="C345" s="76"/>
      <c r="D345" s="76"/>
      <c r="E345" s="75"/>
      <c r="F345" s="75"/>
      <c r="G345" s="75"/>
      <c r="H345" s="75"/>
      <c r="I345" s="75"/>
      <c r="J345" s="75"/>
      <c r="K345" s="75"/>
      <c r="L345" s="75"/>
      <c r="M345" s="75"/>
      <c r="N345" s="75"/>
      <c r="O345" s="75"/>
      <c r="P345" s="75"/>
      <c r="Q345" s="75"/>
      <c r="R345" s="75"/>
      <c r="S345" s="75"/>
      <c r="T345" s="75"/>
      <c r="U345" s="75"/>
      <c r="V345" s="77"/>
      <c r="W345" s="75"/>
      <c r="X345" s="75"/>
      <c r="Y345" s="75"/>
      <c r="Z345" s="78"/>
      <c r="AA345" s="78"/>
      <c r="AB345" s="75"/>
      <c r="AC345" s="75"/>
      <c r="AD345" s="75"/>
      <c r="AE345" s="75"/>
      <c r="AF345" s="75"/>
      <c r="AG345" s="75"/>
      <c r="AH345" s="75"/>
      <c r="AI345" s="75"/>
      <c r="AJ345" s="81"/>
      <c r="AK345" s="75"/>
      <c r="AL345" s="75"/>
    </row>
    <row r="346" spans="1:38" s="69" customFormat="1" x14ac:dyDescent="0.25">
      <c r="A346" s="75"/>
      <c r="B346" s="75"/>
      <c r="C346" s="76"/>
      <c r="D346" s="76"/>
      <c r="E346" s="75"/>
      <c r="F346" s="75"/>
      <c r="G346" s="75"/>
      <c r="H346" s="75"/>
      <c r="I346" s="75"/>
      <c r="J346" s="75"/>
      <c r="K346" s="75"/>
      <c r="L346" s="75"/>
      <c r="M346" s="75"/>
      <c r="N346" s="75"/>
      <c r="O346" s="75"/>
      <c r="P346" s="75"/>
      <c r="Q346" s="75"/>
      <c r="R346" s="75"/>
      <c r="S346" s="75"/>
      <c r="T346" s="75"/>
      <c r="U346" s="75"/>
      <c r="V346" s="77"/>
      <c r="W346" s="75"/>
      <c r="X346" s="75"/>
      <c r="Y346" s="75"/>
      <c r="Z346" s="78"/>
      <c r="AA346" s="78"/>
      <c r="AB346" s="75"/>
      <c r="AC346" s="75"/>
      <c r="AD346" s="75"/>
      <c r="AE346" s="75"/>
      <c r="AF346" s="75"/>
      <c r="AG346" s="75"/>
      <c r="AH346" s="75"/>
      <c r="AI346" s="75"/>
      <c r="AJ346" s="81"/>
      <c r="AK346" s="75"/>
      <c r="AL346" s="75"/>
    </row>
    <row r="347" spans="1:38" s="69" customFormat="1" x14ac:dyDescent="0.25">
      <c r="A347" s="75"/>
      <c r="B347" s="75"/>
      <c r="C347" s="76"/>
      <c r="D347" s="76"/>
      <c r="E347" s="75"/>
      <c r="F347" s="75"/>
      <c r="G347" s="75"/>
      <c r="H347" s="75"/>
      <c r="I347" s="75"/>
      <c r="J347" s="75"/>
      <c r="K347" s="75"/>
      <c r="L347" s="75"/>
      <c r="M347" s="75"/>
      <c r="N347" s="75"/>
      <c r="O347" s="75"/>
      <c r="P347" s="75"/>
      <c r="Q347" s="75"/>
      <c r="R347" s="75"/>
      <c r="S347" s="75"/>
      <c r="T347" s="75"/>
      <c r="U347" s="75"/>
      <c r="V347" s="77"/>
      <c r="W347" s="75"/>
      <c r="X347" s="75"/>
      <c r="Y347" s="75"/>
      <c r="Z347" s="78"/>
      <c r="AA347" s="78"/>
      <c r="AB347" s="75"/>
      <c r="AC347" s="75"/>
      <c r="AD347" s="75"/>
      <c r="AE347" s="75"/>
      <c r="AF347" s="75"/>
      <c r="AG347" s="75"/>
      <c r="AH347" s="75"/>
      <c r="AI347" s="75"/>
      <c r="AJ347" s="81"/>
      <c r="AK347" s="75"/>
      <c r="AL347" s="75"/>
    </row>
    <row r="348" spans="1:38" s="69" customFormat="1" x14ac:dyDescent="0.25">
      <c r="A348" s="75"/>
      <c r="B348" s="75"/>
      <c r="C348" s="76"/>
      <c r="D348" s="76"/>
      <c r="E348" s="75"/>
      <c r="F348" s="75"/>
      <c r="G348" s="75"/>
      <c r="H348" s="75"/>
      <c r="I348" s="75"/>
      <c r="J348" s="75"/>
      <c r="K348" s="75"/>
      <c r="L348" s="75"/>
      <c r="M348" s="75"/>
      <c r="N348" s="75"/>
      <c r="O348" s="75"/>
      <c r="P348" s="75"/>
      <c r="Q348" s="75"/>
      <c r="R348" s="75"/>
      <c r="S348" s="75"/>
      <c r="T348" s="75"/>
      <c r="U348" s="75"/>
      <c r="V348" s="77"/>
      <c r="W348" s="75"/>
      <c r="X348" s="75"/>
      <c r="Y348" s="75"/>
      <c r="Z348" s="78"/>
      <c r="AA348" s="78"/>
      <c r="AB348" s="75"/>
      <c r="AC348" s="75"/>
      <c r="AD348" s="75"/>
      <c r="AE348" s="75"/>
      <c r="AF348" s="75"/>
      <c r="AG348" s="75"/>
      <c r="AH348" s="75"/>
      <c r="AI348" s="75"/>
      <c r="AJ348" s="81"/>
      <c r="AK348" s="75"/>
      <c r="AL348" s="75"/>
    </row>
    <row r="349" spans="1:38" s="69" customFormat="1" x14ac:dyDescent="0.25">
      <c r="A349" s="75"/>
      <c r="B349" s="75"/>
      <c r="C349" s="76"/>
      <c r="D349" s="76"/>
      <c r="E349" s="75"/>
      <c r="F349" s="75"/>
      <c r="G349" s="75"/>
      <c r="H349" s="75"/>
      <c r="I349" s="75"/>
      <c r="J349" s="75"/>
      <c r="K349" s="75"/>
      <c r="L349" s="75"/>
      <c r="M349" s="75"/>
      <c r="N349" s="75"/>
      <c r="O349" s="75"/>
      <c r="P349" s="75"/>
      <c r="Q349" s="75"/>
      <c r="R349" s="75"/>
      <c r="S349" s="75"/>
      <c r="T349" s="75"/>
      <c r="U349" s="75"/>
      <c r="V349" s="77"/>
      <c r="W349" s="75"/>
      <c r="X349" s="75"/>
      <c r="Y349" s="75"/>
      <c r="Z349" s="78"/>
      <c r="AA349" s="78"/>
      <c r="AB349" s="75"/>
      <c r="AC349" s="75"/>
      <c r="AD349" s="75"/>
      <c r="AE349" s="75"/>
      <c r="AF349" s="75"/>
      <c r="AG349" s="75"/>
      <c r="AH349" s="75"/>
      <c r="AI349" s="75"/>
      <c r="AJ349" s="81"/>
      <c r="AK349" s="75"/>
      <c r="AL349" s="75"/>
    </row>
    <row r="350" spans="1:38" s="69" customFormat="1" x14ac:dyDescent="0.25">
      <c r="A350" s="75"/>
      <c r="B350" s="75"/>
      <c r="C350" s="76"/>
      <c r="D350" s="76"/>
      <c r="E350" s="75"/>
      <c r="F350" s="75"/>
      <c r="G350" s="75"/>
      <c r="H350" s="75"/>
      <c r="I350" s="75"/>
      <c r="J350" s="75"/>
      <c r="K350" s="75"/>
      <c r="L350" s="75"/>
      <c r="M350" s="75"/>
      <c r="N350" s="75"/>
      <c r="O350" s="75"/>
      <c r="P350" s="75"/>
      <c r="Q350" s="75"/>
      <c r="R350" s="75"/>
      <c r="S350" s="75"/>
      <c r="T350" s="75"/>
      <c r="U350" s="75"/>
      <c r="V350" s="77"/>
      <c r="W350" s="75"/>
      <c r="X350" s="75"/>
      <c r="Y350" s="75"/>
      <c r="Z350" s="78"/>
      <c r="AA350" s="78"/>
      <c r="AB350" s="75"/>
      <c r="AC350" s="75"/>
      <c r="AD350" s="75"/>
      <c r="AE350" s="75"/>
      <c r="AF350" s="75"/>
      <c r="AG350" s="75"/>
      <c r="AH350" s="75"/>
      <c r="AI350" s="75"/>
      <c r="AJ350" s="81"/>
      <c r="AK350" s="75"/>
      <c r="AL350" s="75"/>
    </row>
    <row r="351" spans="1:38" s="69" customFormat="1" x14ac:dyDescent="0.25">
      <c r="A351" s="75"/>
      <c r="B351" s="75"/>
      <c r="C351" s="76"/>
      <c r="D351" s="76"/>
      <c r="E351" s="75"/>
      <c r="F351" s="75"/>
      <c r="G351" s="75"/>
      <c r="H351" s="75"/>
      <c r="I351" s="75"/>
      <c r="J351" s="75"/>
      <c r="K351" s="75"/>
      <c r="L351" s="75"/>
      <c r="M351" s="75"/>
      <c r="N351" s="75"/>
      <c r="O351" s="75"/>
      <c r="P351" s="75"/>
      <c r="Q351" s="75"/>
      <c r="R351" s="75"/>
      <c r="S351" s="75"/>
      <c r="T351" s="75"/>
      <c r="U351" s="75"/>
      <c r="V351" s="77"/>
      <c r="W351" s="75"/>
      <c r="X351" s="75"/>
      <c r="Y351" s="75"/>
      <c r="Z351" s="78"/>
      <c r="AA351" s="78"/>
      <c r="AB351" s="75"/>
      <c r="AC351" s="75"/>
      <c r="AD351" s="75"/>
      <c r="AE351" s="75"/>
      <c r="AF351" s="75"/>
      <c r="AG351" s="75"/>
      <c r="AH351" s="75"/>
      <c r="AI351" s="75"/>
      <c r="AJ351" s="81"/>
      <c r="AK351" s="75"/>
      <c r="AL351" s="75"/>
    </row>
    <row r="352" spans="1:38" s="69" customFormat="1" x14ac:dyDescent="0.25">
      <c r="A352" s="75"/>
      <c r="B352" s="75"/>
      <c r="C352" s="76"/>
      <c r="D352" s="76"/>
      <c r="E352" s="75"/>
      <c r="F352" s="75"/>
      <c r="G352" s="75"/>
      <c r="H352" s="75"/>
      <c r="I352" s="75"/>
      <c r="J352" s="75"/>
      <c r="K352" s="75"/>
      <c r="L352" s="75"/>
      <c r="M352" s="75"/>
      <c r="N352" s="75"/>
      <c r="O352" s="75"/>
      <c r="P352" s="75"/>
      <c r="Q352" s="75"/>
      <c r="R352" s="75"/>
      <c r="S352" s="75"/>
      <c r="T352" s="75"/>
      <c r="U352" s="75"/>
      <c r="V352" s="77"/>
      <c r="W352" s="75"/>
      <c r="X352" s="75"/>
      <c r="Y352" s="75"/>
      <c r="Z352" s="78"/>
      <c r="AA352" s="78"/>
      <c r="AB352" s="75"/>
      <c r="AC352" s="75"/>
      <c r="AD352" s="75"/>
      <c r="AE352" s="75"/>
      <c r="AF352" s="75"/>
      <c r="AG352" s="75"/>
      <c r="AH352" s="75"/>
      <c r="AI352" s="75"/>
      <c r="AJ352" s="81"/>
      <c r="AK352" s="75"/>
      <c r="AL352" s="75"/>
    </row>
    <row r="353" spans="1:38" s="69" customFormat="1" x14ac:dyDescent="0.25">
      <c r="A353" s="75"/>
      <c r="B353" s="75"/>
      <c r="C353" s="76"/>
      <c r="D353" s="76"/>
      <c r="E353" s="75"/>
      <c r="F353" s="75"/>
      <c r="G353" s="75"/>
      <c r="H353" s="75"/>
      <c r="I353" s="75"/>
      <c r="J353" s="75"/>
      <c r="K353" s="75"/>
      <c r="L353" s="75"/>
      <c r="M353" s="75"/>
      <c r="N353" s="75"/>
      <c r="O353" s="75"/>
      <c r="P353" s="75"/>
      <c r="Q353" s="75"/>
      <c r="R353" s="75"/>
      <c r="S353" s="75"/>
      <c r="T353" s="75"/>
      <c r="U353" s="75"/>
      <c r="V353" s="77"/>
      <c r="W353" s="75"/>
      <c r="X353" s="75"/>
      <c r="Y353" s="75"/>
      <c r="Z353" s="78"/>
      <c r="AA353" s="78"/>
      <c r="AB353" s="75"/>
      <c r="AC353" s="75"/>
      <c r="AD353" s="75"/>
      <c r="AE353" s="75"/>
      <c r="AF353" s="75"/>
      <c r="AG353" s="75"/>
      <c r="AH353" s="75"/>
      <c r="AI353" s="75"/>
      <c r="AJ353" s="81"/>
      <c r="AK353" s="75"/>
      <c r="AL353" s="75"/>
    </row>
    <row r="354" spans="1:38" s="69" customFormat="1" x14ac:dyDescent="0.25">
      <c r="A354" s="75"/>
      <c r="B354" s="75"/>
      <c r="C354" s="76"/>
      <c r="D354" s="76"/>
      <c r="E354" s="75"/>
      <c r="F354" s="75"/>
      <c r="G354" s="75"/>
      <c r="H354" s="75"/>
      <c r="I354" s="75"/>
      <c r="J354" s="75"/>
      <c r="K354" s="75"/>
      <c r="L354" s="75"/>
      <c r="M354" s="75"/>
      <c r="N354" s="75"/>
      <c r="O354" s="75"/>
      <c r="P354" s="75"/>
      <c r="Q354" s="75"/>
      <c r="R354" s="75"/>
      <c r="S354" s="75"/>
      <c r="T354" s="75"/>
      <c r="U354" s="75"/>
      <c r="V354" s="77"/>
      <c r="W354" s="75"/>
      <c r="X354" s="75"/>
      <c r="Y354" s="75"/>
      <c r="Z354" s="78"/>
      <c r="AA354" s="78"/>
      <c r="AB354" s="75"/>
      <c r="AC354" s="75"/>
      <c r="AD354" s="75"/>
      <c r="AE354" s="75"/>
      <c r="AF354" s="75"/>
      <c r="AG354" s="75"/>
      <c r="AH354" s="75"/>
      <c r="AI354" s="75"/>
      <c r="AJ354" s="81"/>
      <c r="AK354" s="75"/>
      <c r="AL354" s="75"/>
    </row>
    <row r="355" spans="1:38" s="69" customFormat="1" x14ac:dyDescent="0.25">
      <c r="A355" s="75"/>
      <c r="B355" s="75"/>
      <c r="C355" s="76"/>
      <c r="D355" s="76"/>
      <c r="E355" s="75"/>
      <c r="F355" s="75"/>
      <c r="G355" s="75"/>
      <c r="H355" s="75"/>
      <c r="I355" s="75"/>
      <c r="J355" s="75"/>
      <c r="K355" s="75"/>
      <c r="L355" s="75"/>
      <c r="M355" s="75"/>
      <c r="N355" s="75"/>
      <c r="O355" s="75"/>
      <c r="P355" s="75"/>
      <c r="Q355" s="75"/>
      <c r="R355" s="75"/>
      <c r="S355" s="75"/>
      <c r="T355" s="75"/>
      <c r="U355" s="75"/>
      <c r="V355" s="77"/>
      <c r="W355" s="75"/>
      <c r="X355" s="75"/>
      <c r="Y355" s="75"/>
      <c r="Z355" s="78"/>
      <c r="AA355" s="78"/>
      <c r="AB355" s="75"/>
      <c r="AC355" s="75"/>
      <c r="AD355" s="75"/>
      <c r="AE355" s="75"/>
      <c r="AF355" s="75"/>
      <c r="AG355" s="75"/>
      <c r="AH355" s="75"/>
      <c r="AI355" s="75"/>
      <c r="AJ355" s="81"/>
      <c r="AK355" s="75"/>
      <c r="AL355" s="75"/>
    </row>
    <row r="356" spans="1:38" s="69" customFormat="1" x14ac:dyDescent="0.25">
      <c r="A356" s="75"/>
      <c r="B356" s="75"/>
      <c r="C356" s="76"/>
      <c r="D356" s="76"/>
      <c r="E356" s="75"/>
      <c r="F356" s="75"/>
      <c r="G356" s="75"/>
      <c r="H356" s="75"/>
      <c r="I356" s="75"/>
      <c r="J356" s="75"/>
      <c r="K356" s="75"/>
      <c r="L356" s="75"/>
      <c r="M356" s="75"/>
      <c r="N356" s="75"/>
      <c r="O356" s="75"/>
      <c r="P356" s="75"/>
      <c r="Q356" s="75"/>
      <c r="R356" s="75"/>
      <c r="S356" s="75"/>
      <c r="T356" s="75"/>
      <c r="U356" s="75"/>
      <c r="V356" s="77"/>
      <c r="W356" s="75"/>
      <c r="X356" s="75"/>
      <c r="Y356" s="75"/>
      <c r="Z356" s="78"/>
      <c r="AA356" s="78"/>
      <c r="AB356" s="75"/>
      <c r="AC356" s="75"/>
      <c r="AD356" s="75"/>
      <c r="AE356" s="75"/>
      <c r="AF356" s="75"/>
      <c r="AG356" s="75"/>
      <c r="AH356" s="75"/>
      <c r="AI356" s="75"/>
      <c r="AJ356" s="81"/>
      <c r="AK356" s="75"/>
      <c r="AL356" s="75"/>
    </row>
    <row r="357" spans="1:38" s="69" customFormat="1" x14ac:dyDescent="0.25">
      <c r="A357" s="75"/>
      <c r="B357" s="75"/>
      <c r="C357" s="76"/>
      <c r="D357" s="76"/>
      <c r="E357" s="75"/>
      <c r="F357" s="75"/>
      <c r="G357" s="75"/>
      <c r="H357" s="75"/>
      <c r="I357" s="75"/>
      <c r="J357" s="75"/>
      <c r="K357" s="75"/>
      <c r="L357" s="75"/>
      <c r="M357" s="75"/>
      <c r="N357" s="75"/>
      <c r="O357" s="75"/>
      <c r="P357" s="75"/>
      <c r="Q357" s="75"/>
      <c r="R357" s="75"/>
      <c r="S357" s="75"/>
      <c r="T357" s="75"/>
      <c r="U357" s="75"/>
      <c r="V357" s="77"/>
      <c r="W357" s="75"/>
      <c r="X357" s="75"/>
      <c r="Y357" s="75"/>
      <c r="Z357" s="78"/>
      <c r="AA357" s="78"/>
      <c r="AB357" s="75"/>
      <c r="AC357" s="75"/>
      <c r="AD357" s="75"/>
      <c r="AE357" s="75"/>
      <c r="AF357" s="75"/>
      <c r="AG357" s="75"/>
      <c r="AH357" s="75"/>
      <c r="AI357" s="75"/>
      <c r="AJ357" s="81"/>
      <c r="AK357" s="75"/>
      <c r="AL357" s="75"/>
    </row>
    <row r="358" spans="1:38" s="69" customFormat="1" x14ac:dyDescent="0.25">
      <c r="A358" s="75"/>
      <c r="B358" s="75"/>
      <c r="C358" s="76"/>
      <c r="D358" s="76"/>
      <c r="E358" s="75"/>
      <c r="F358" s="75"/>
      <c r="G358" s="75"/>
      <c r="H358" s="75"/>
      <c r="I358" s="75"/>
      <c r="J358" s="75"/>
      <c r="K358" s="75"/>
      <c r="L358" s="75"/>
      <c r="M358" s="75"/>
      <c r="N358" s="75"/>
      <c r="O358" s="75"/>
      <c r="P358" s="75"/>
      <c r="Q358" s="75"/>
      <c r="R358" s="75"/>
      <c r="S358" s="75"/>
      <c r="T358" s="75"/>
      <c r="U358" s="75"/>
      <c r="V358" s="77"/>
      <c r="W358" s="75"/>
      <c r="X358" s="75"/>
      <c r="Y358" s="75"/>
      <c r="Z358" s="78"/>
      <c r="AA358" s="78"/>
      <c r="AB358" s="75"/>
      <c r="AC358" s="75"/>
      <c r="AD358" s="75"/>
      <c r="AE358" s="75"/>
      <c r="AF358" s="75"/>
      <c r="AG358" s="75"/>
      <c r="AH358" s="75"/>
      <c r="AI358" s="75"/>
      <c r="AJ358" s="81"/>
      <c r="AK358" s="75"/>
      <c r="AL358" s="75"/>
    </row>
    <row r="359" spans="1:38" s="69" customFormat="1" x14ac:dyDescent="0.25">
      <c r="A359" s="75"/>
      <c r="B359" s="75"/>
      <c r="C359" s="76"/>
      <c r="D359" s="76"/>
      <c r="E359" s="75"/>
      <c r="F359" s="75"/>
      <c r="G359" s="75"/>
      <c r="H359" s="75"/>
      <c r="I359" s="75"/>
      <c r="J359" s="75"/>
      <c r="K359" s="75"/>
      <c r="L359" s="75"/>
      <c r="M359" s="75"/>
      <c r="N359" s="75"/>
      <c r="O359" s="75"/>
      <c r="P359" s="75"/>
      <c r="Q359" s="75"/>
      <c r="R359" s="75"/>
      <c r="S359" s="75"/>
      <c r="T359" s="75"/>
      <c r="U359" s="75"/>
      <c r="V359" s="77"/>
      <c r="W359" s="75"/>
      <c r="X359" s="75"/>
      <c r="Y359" s="75"/>
      <c r="Z359" s="78"/>
      <c r="AA359" s="78"/>
      <c r="AB359" s="75"/>
      <c r="AC359" s="75"/>
      <c r="AD359" s="75"/>
      <c r="AE359" s="75"/>
      <c r="AF359" s="75"/>
      <c r="AG359" s="75"/>
      <c r="AH359" s="75"/>
      <c r="AI359" s="75"/>
      <c r="AJ359" s="81"/>
      <c r="AK359" s="75"/>
      <c r="AL359" s="75"/>
    </row>
    <row r="360" spans="1:38" s="69" customFormat="1" x14ac:dyDescent="0.25">
      <c r="A360" s="75"/>
      <c r="B360" s="75"/>
      <c r="C360" s="76"/>
      <c r="D360" s="76"/>
      <c r="E360" s="75"/>
      <c r="F360" s="75"/>
      <c r="G360" s="75"/>
      <c r="H360" s="75"/>
      <c r="I360" s="75"/>
      <c r="J360" s="75"/>
      <c r="K360" s="75"/>
      <c r="L360" s="75"/>
      <c r="M360" s="75"/>
      <c r="N360" s="75"/>
      <c r="O360" s="75"/>
      <c r="P360" s="75"/>
      <c r="Q360" s="75"/>
      <c r="R360" s="75"/>
      <c r="S360" s="75"/>
      <c r="T360" s="75"/>
      <c r="U360" s="75"/>
      <c r="V360" s="77"/>
      <c r="W360" s="75"/>
      <c r="X360" s="75"/>
      <c r="Y360" s="75"/>
      <c r="Z360" s="78"/>
      <c r="AA360" s="78"/>
      <c r="AB360" s="75"/>
      <c r="AC360" s="75"/>
      <c r="AD360" s="75"/>
      <c r="AE360" s="75"/>
      <c r="AF360" s="75"/>
      <c r="AG360" s="75"/>
      <c r="AH360" s="75"/>
      <c r="AI360" s="75"/>
      <c r="AJ360" s="81"/>
      <c r="AK360" s="75"/>
      <c r="AL360" s="75"/>
    </row>
    <row r="361" spans="1:38" s="69" customFormat="1" x14ac:dyDescent="0.25">
      <c r="A361" s="75"/>
      <c r="B361" s="75"/>
      <c r="C361" s="76"/>
      <c r="D361" s="76"/>
      <c r="E361" s="75"/>
      <c r="F361" s="75"/>
      <c r="G361" s="75"/>
      <c r="H361" s="75"/>
      <c r="I361" s="75"/>
      <c r="J361" s="75"/>
      <c r="K361" s="75"/>
      <c r="L361" s="75"/>
      <c r="M361" s="75"/>
      <c r="N361" s="75"/>
      <c r="O361" s="75"/>
      <c r="P361" s="75"/>
      <c r="Q361" s="75"/>
      <c r="R361" s="75"/>
      <c r="S361" s="75"/>
      <c r="T361" s="75"/>
      <c r="U361" s="75"/>
      <c r="V361" s="77"/>
      <c r="W361" s="75"/>
      <c r="X361" s="75"/>
      <c r="Y361" s="75"/>
      <c r="Z361" s="78"/>
      <c r="AA361" s="78"/>
      <c r="AB361" s="75"/>
      <c r="AC361" s="75"/>
      <c r="AD361" s="75"/>
      <c r="AE361" s="75"/>
      <c r="AF361" s="75"/>
      <c r="AG361" s="75"/>
      <c r="AH361" s="75"/>
      <c r="AI361" s="75"/>
      <c r="AJ361" s="81"/>
      <c r="AK361" s="75"/>
      <c r="AL361" s="75"/>
    </row>
    <row r="362" spans="1:38" s="69" customFormat="1" x14ac:dyDescent="0.25">
      <c r="A362" s="75"/>
      <c r="B362" s="75"/>
      <c r="C362" s="76"/>
      <c r="D362" s="76"/>
      <c r="E362" s="75"/>
      <c r="F362" s="75"/>
      <c r="G362" s="75"/>
      <c r="H362" s="75"/>
      <c r="I362" s="75"/>
      <c r="J362" s="75"/>
      <c r="K362" s="75"/>
      <c r="L362" s="75"/>
      <c r="M362" s="75"/>
      <c r="N362" s="75"/>
      <c r="O362" s="75"/>
      <c r="P362" s="75"/>
      <c r="Q362" s="75"/>
      <c r="R362" s="75"/>
      <c r="S362" s="75"/>
      <c r="T362" s="75"/>
      <c r="U362" s="75"/>
      <c r="V362" s="77"/>
      <c r="W362" s="75"/>
      <c r="X362" s="75"/>
      <c r="Y362" s="75"/>
      <c r="Z362" s="78"/>
      <c r="AA362" s="78"/>
      <c r="AB362" s="75"/>
      <c r="AC362" s="75"/>
      <c r="AD362" s="75"/>
      <c r="AE362" s="75"/>
      <c r="AF362" s="75"/>
      <c r="AG362" s="75"/>
      <c r="AH362" s="75"/>
      <c r="AI362" s="75"/>
      <c r="AJ362" s="81"/>
      <c r="AK362" s="75"/>
      <c r="AL362" s="75"/>
    </row>
    <row r="363" spans="1:38" s="69" customFormat="1" x14ac:dyDescent="0.25">
      <c r="A363" s="75"/>
      <c r="B363" s="75"/>
      <c r="C363" s="76"/>
      <c r="D363" s="76"/>
      <c r="E363" s="75"/>
      <c r="F363" s="75"/>
      <c r="G363" s="75"/>
      <c r="H363" s="75"/>
      <c r="I363" s="75"/>
      <c r="J363" s="75"/>
      <c r="K363" s="75"/>
      <c r="L363" s="75"/>
      <c r="M363" s="75"/>
      <c r="N363" s="75"/>
      <c r="O363" s="75"/>
      <c r="P363" s="75"/>
      <c r="Q363" s="75"/>
      <c r="R363" s="75"/>
      <c r="S363" s="75"/>
      <c r="T363" s="75"/>
      <c r="U363" s="75"/>
      <c r="V363" s="77"/>
      <c r="W363" s="75"/>
      <c r="X363" s="75"/>
      <c r="Y363" s="75"/>
      <c r="Z363" s="78"/>
      <c r="AA363" s="78"/>
      <c r="AB363" s="75"/>
      <c r="AC363" s="75"/>
      <c r="AD363" s="75"/>
      <c r="AE363" s="75"/>
      <c r="AF363" s="75"/>
      <c r="AG363" s="75"/>
      <c r="AH363" s="75"/>
      <c r="AI363" s="75"/>
      <c r="AJ363" s="81"/>
      <c r="AK363" s="75"/>
      <c r="AL363" s="75"/>
    </row>
    <row r="364" spans="1:38" s="69" customFormat="1" x14ac:dyDescent="0.25">
      <c r="A364" s="75"/>
      <c r="B364" s="75"/>
      <c r="C364" s="76"/>
      <c r="D364" s="76"/>
      <c r="E364" s="75"/>
      <c r="F364" s="75"/>
      <c r="G364" s="75"/>
      <c r="H364" s="75"/>
      <c r="I364" s="75"/>
      <c r="J364" s="75"/>
      <c r="K364" s="75"/>
      <c r="L364" s="75"/>
      <c r="M364" s="75"/>
      <c r="N364" s="75"/>
      <c r="O364" s="75"/>
      <c r="P364" s="75"/>
      <c r="Q364" s="75"/>
      <c r="R364" s="75"/>
      <c r="S364" s="75"/>
      <c r="T364" s="75"/>
      <c r="U364" s="75"/>
      <c r="V364" s="77"/>
      <c r="W364" s="75"/>
      <c r="X364" s="75"/>
      <c r="Y364" s="75"/>
      <c r="Z364" s="78"/>
      <c r="AA364" s="78"/>
      <c r="AB364" s="75"/>
      <c r="AC364" s="75"/>
      <c r="AD364" s="75"/>
      <c r="AE364" s="75"/>
      <c r="AF364" s="75"/>
      <c r="AG364" s="75"/>
      <c r="AH364" s="75"/>
      <c r="AI364" s="75"/>
      <c r="AJ364" s="81"/>
      <c r="AK364" s="75"/>
      <c r="AL364" s="75"/>
    </row>
    <row r="365" spans="1:38" s="69" customFormat="1" x14ac:dyDescent="0.25">
      <c r="A365" s="75"/>
      <c r="B365" s="75"/>
      <c r="C365" s="76"/>
      <c r="D365" s="76"/>
      <c r="E365" s="75"/>
      <c r="F365" s="75"/>
      <c r="G365" s="75"/>
      <c r="H365" s="75"/>
      <c r="I365" s="75"/>
      <c r="J365" s="75"/>
      <c r="K365" s="75"/>
      <c r="L365" s="75"/>
      <c r="M365" s="75"/>
      <c r="N365" s="75"/>
      <c r="O365" s="75"/>
      <c r="P365" s="75"/>
      <c r="Q365" s="75"/>
      <c r="R365" s="75"/>
      <c r="S365" s="75"/>
      <c r="T365" s="75"/>
      <c r="U365" s="75"/>
      <c r="V365" s="77"/>
      <c r="W365" s="75"/>
      <c r="X365" s="75"/>
      <c r="Y365" s="75"/>
      <c r="Z365" s="78"/>
      <c r="AA365" s="78"/>
      <c r="AB365" s="75"/>
      <c r="AC365" s="75"/>
      <c r="AD365" s="75"/>
      <c r="AE365" s="75"/>
      <c r="AF365" s="75"/>
      <c r="AG365" s="75"/>
      <c r="AH365" s="75"/>
      <c r="AI365" s="75"/>
      <c r="AJ365" s="81"/>
      <c r="AK365" s="75"/>
      <c r="AL365" s="75"/>
    </row>
    <row r="366" spans="1:38" s="69" customFormat="1" x14ac:dyDescent="0.25">
      <c r="A366" s="75"/>
      <c r="B366" s="75"/>
      <c r="C366" s="76"/>
      <c r="D366" s="76"/>
      <c r="E366" s="75"/>
      <c r="F366" s="75"/>
      <c r="G366" s="75"/>
      <c r="H366" s="75"/>
      <c r="I366" s="75"/>
      <c r="J366" s="75"/>
      <c r="K366" s="75"/>
      <c r="L366" s="75"/>
      <c r="M366" s="75"/>
      <c r="N366" s="75"/>
      <c r="O366" s="75"/>
      <c r="P366" s="75"/>
      <c r="Q366" s="75"/>
      <c r="R366" s="75"/>
      <c r="S366" s="75"/>
      <c r="T366" s="75"/>
      <c r="U366" s="75"/>
      <c r="V366" s="77"/>
      <c r="W366" s="75"/>
      <c r="X366" s="75"/>
      <c r="Y366" s="75"/>
      <c r="Z366" s="78"/>
      <c r="AA366" s="78"/>
      <c r="AB366" s="75"/>
      <c r="AJ366" s="72"/>
    </row>
    <row r="367" spans="1:38" s="69" customFormat="1" x14ac:dyDescent="0.25">
      <c r="A367" s="75"/>
      <c r="B367" s="75"/>
      <c r="C367" s="76"/>
      <c r="D367" s="76"/>
      <c r="E367" s="75"/>
      <c r="F367" s="75"/>
      <c r="G367" s="75"/>
      <c r="H367" s="75"/>
      <c r="I367" s="75"/>
      <c r="J367" s="75"/>
      <c r="K367" s="75"/>
      <c r="L367" s="75"/>
      <c r="M367" s="75"/>
      <c r="N367" s="75"/>
      <c r="O367" s="75"/>
      <c r="P367" s="75"/>
      <c r="Q367" s="75"/>
      <c r="R367" s="75"/>
      <c r="S367" s="75"/>
      <c r="T367" s="75"/>
      <c r="U367" s="75"/>
      <c r="V367" s="77"/>
      <c r="W367" s="75"/>
      <c r="X367" s="75"/>
      <c r="Y367" s="75"/>
      <c r="Z367" s="78"/>
      <c r="AA367" s="78"/>
      <c r="AB367" s="75"/>
      <c r="AJ367" s="72"/>
    </row>
    <row r="368" spans="1:38" s="69" customFormat="1" x14ac:dyDescent="0.25">
      <c r="A368" s="75"/>
      <c r="B368" s="75"/>
      <c r="C368" s="76"/>
      <c r="D368" s="76"/>
      <c r="E368" s="75"/>
      <c r="F368" s="75"/>
      <c r="G368" s="75"/>
      <c r="H368" s="75"/>
      <c r="I368" s="75"/>
      <c r="J368" s="75"/>
      <c r="K368" s="75"/>
      <c r="L368" s="75"/>
      <c r="M368" s="75"/>
      <c r="N368" s="75"/>
      <c r="O368" s="75"/>
      <c r="P368" s="75"/>
      <c r="Q368" s="75"/>
      <c r="R368" s="75"/>
      <c r="S368" s="75"/>
      <c r="T368" s="75"/>
      <c r="U368" s="75"/>
      <c r="V368" s="77"/>
      <c r="W368" s="75"/>
      <c r="X368" s="75"/>
      <c r="Y368" s="75"/>
      <c r="Z368" s="78"/>
      <c r="AA368" s="78"/>
      <c r="AB368" s="75"/>
      <c r="AJ368" s="72"/>
    </row>
    <row r="369" spans="1:36" s="69" customFormat="1" x14ac:dyDescent="0.25">
      <c r="A369" s="75"/>
      <c r="B369" s="75"/>
      <c r="C369" s="76"/>
      <c r="D369" s="76"/>
      <c r="E369" s="75"/>
      <c r="F369" s="75"/>
      <c r="G369" s="75"/>
      <c r="H369" s="75"/>
      <c r="I369" s="75"/>
      <c r="J369" s="75"/>
      <c r="K369" s="75"/>
      <c r="L369" s="75"/>
      <c r="M369" s="75"/>
      <c r="N369" s="75"/>
      <c r="O369" s="75"/>
      <c r="P369" s="75"/>
      <c r="Q369" s="75"/>
      <c r="R369" s="75"/>
      <c r="S369" s="75"/>
      <c r="T369" s="75"/>
      <c r="U369" s="75"/>
      <c r="V369" s="77"/>
      <c r="W369" s="75"/>
      <c r="X369" s="75"/>
      <c r="Y369" s="75"/>
      <c r="Z369" s="78"/>
      <c r="AA369" s="78"/>
      <c r="AB369" s="75"/>
      <c r="AJ369" s="72"/>
    </row>
    <row r="370" spans="1:36" s="69" customFormat="1" x14ac:dyDescent="0.25">
      <c r="A370" s="75"/>
      <c r="B370" s="75"/>
      <c r="C370" s="76"/>
      <c r="D370" s="76"/>
      <c r="E370" s="75"/>
      <c r="F370" s="75"/>
      <c r="G370" s="75"/>
      <c r="H370" s="75"/>
      <c r="I370" s="75"/>
      <c r="J370" s="75"/>
      <c r="K370" s="75"/>
      <c r="L370" s="75"/>
      <c r="M370" s="75"/>
      <c r="N370" s="75"/>
      <c r="O370" s="75"/>
      <c r="P370" s="75"/>
      <c r="Q370" s="75"/>
      <c r="R370" s="75"/>
      <c r="S370" s="75"/>
      <c r="T370" s="75"/>
      <c r="U370" s="75"/>
      <c r="V370" s="77"/>
      <c r="W370" s="75"/>
      <c r="X370" s="75"/>
      <c r="Y370" s="75"/>
      <c r="Z370" s="78"/>
      <c r="AA370" s="78"/>
      <c r="AB370" s="75"/>
      <c r="AJ370" s="72"/>
    </row>
    <row r="371" spans="1:36" s="69" customFormat="1" x14ac:dyDescent="0.25">
      <c r="A371" s="75"/>
      <c r="B371" s="75"/>
      <c r="C371" s="76"/>
      <c r="D371" s="76"/>
      <c r="E371" s="75"/>
      <c r="F371" s="75"/>
      <c r="G371" s="75"/>
      <c r="H371" s="75"/>
      <c r="I371" s="75"/>
      <c r="J371" s="75"/>
      <c r="K371" s="75"/>
      <c r="L371" s="75"/>
      <c r="M371" s="75"/>
      <c r="N371" s="75"/>
      <c r="O371" s="75"/>
      <c r="P371" s="75"/>
      <c r="Q371" s="75"/>
      <c r="R371" s="75"/>
      <c r="S371" s="75"/>
      <c r="T371" s="75"/>
      <c r="U371" s="75"/>
      <c r="V371" s="77"/>
      <c r="W371" s="75"/>
      <c r="X371" s="75"/>
      <c r="Y371" s="75"/>
      <c r="Z371" s="78"/>
      <c r="AA371" s="78"/>
      <c r="AB371" s="75"/>
      <c r="AJ371" s="72"/>
    </row>
    <row r="372" spans="1:36" s="69" customFormat="1" x14ac:dyDescent="0.25">
      <c r="A372" s="75"/>
      <c r="B372" s="75"/>
      <c r="C372" s="76"/>
      <c r="D372" s="76"/>
      <c r="E372" s="75"/>
      <c r="F372" s="75"/>
      <c r="G372" s="75"/>
      <c r="H372" s="75"/>
      <c r="I372" s="75"/>
      <c r="J372" s="75"/>
      <c r="K372" s="75"/>
      <c r="L372" s="75"/>
      <c r="M372" s="75"/>
      <c r="N372" s="75"/>
      <c r="O372" s="75"/>
      <c r="P372" s="75"/>
      <c r="Q372" s="75"/>
      <c r="R372" s="75"/>
      <c r="S372" s="75"/>
      <c r="T372" s="75"/>
      <c r="U372" s="75"/>
      <c r="V372" s="77"/>
      <c r="W372" s="75"/>
      <c r="X372" s="75"/>
      <c r="Y372" s="75"/>
      <c r="Z372" s="78"/>
      <c r="AA372" s="78"/>
      <c r="AB372" s="75"/>
      <c r="AJ372" s="72"/>
    </row>
    <row r="373" spans="1:36" s="69" customFormat="1" x14ac:dyDescent="0.25">
      <c r="A373" s="75"/>
      <c r="B373" s="75"/>
      <c r="C373" s="76"/>
      <c r="D373" s="76"/>
      <c r="E373" s="75"/>
      <c r="F373" s="75"/>
      <c r="G373" s="75"/>
      <c r="H373" s="75"/>
      <c r="I373" s="75"/>
      <c r="J373" s="75"/>
      <c r="K373" s="75"/>
      <c r="L373" s="75"/>
      <c r="M373" s="75"/>
      <c r="N373" s="75"/>
      <c r="O373" s="75"/>
      <c r="P373" s="75"/>
      <c r="Q373" s="75"/>
      <c r="R373" s="75"/>
      <c r="S373" s="75"/>
      <c r="T373" s="75"/>
      <c r="U373" s="75"/>
      <c r="V373" s="77"/>
      <c r="W373" s="75"/>
      <c r="X373" s="75"/>
      <c r="Y373" s="75"/>
      <c r="Z373" s="78"/>
      <c r="AA373" s="78"/>
      <c r="AB373" s="75"/>
      <c r="AJ373" s="72"/>
    </row>
    <row r="374" spans="1:36" s="69" customFormat="1" x14ac:dyDescent="0.25">
      <c r="A374" s="75"/>
      <c r="B374" s="75"/>
      <c r="C374" s="76"/>
      <c r="D374" s="76"/>
      <c r="E374" s="75"/>
      <c r="F374" s="75"/>
      <c r="G374" s="75"/>
      <c r="H374" s="75"/>
      <c r="I374" s="75"/>
      <c r="J374" s="75"/>
      <c r="K374" s="75"/>
      <c r="L374" s="75"/>
      <c r="M374" s="75"/>
      <c r="N374" s="75"/>
      <c r="O374" s="75"/>
      <c r="P374" s="75"/>
      <c r="Q374" s="75"/>
      <c r="R374" s="75"/>
      <c r="S374" s="75"/>
      <c r="T374" s="75"/>
      <c r="U374" s="75"/>
      <c r="V374" s="77"/>
      <c r="W374" s="75"/>
      <c r="X374" s="75"/>
      <c r="Y374" s="75"/>
      <c r="Z374" s="78"/>
      <c r="AA374" s="78"/>
      <c r="AB374" s="75"/>
      <c r="AJ374" s="72"/>
    </row>
    <row r="375" spans="1:36" s="69" customFormat="1" x14ac:dyDescent="0.25">
      <c r="A375" s="75"/>
      <c r="B375" s="75"/>
      <c r="C375" s="76"/>
      <c r="D375" s="76"/>
      <c r="E375" s="75"/>
      <c r="F375" s="75"/>
      <c r="G375" s="75"/>
      <c r="H375" s="75"/>
      <c r="I375" s="75"/>
      <c r="J375" s="75"/>
      <c r="K375" s="75"/>
      <c r="L375" s="75"/>
      <c r="M375" s="75"/>
      <c r="N375" s="75"/>
      <c r="O375" s="75"/>
      <c r="P375" s="75"/>
      <c r="Q375" s="75"/>
      <c r="R375" s="75"/>
      <c r="S375" s="75"/>
      <c r="T375" s="75"/>
      <c r="U375" s="75"/>
      <c r="V375" s="77"/>
      <c r="W375" s="75"/>
      <c r="X375" s="75"/>
      <c r="Y375" s="75"/>
      <c r="Z375" s="78"/>
      <c r="AA375" s="78"/>
      <c r="AB375" s="75"/>
      <c r="AJ375" s="72"/>
    </row>
    <row r="376" spans="1:36" s="69" customFormat="1" x14ac:dyDescent="0.25">
      <c r="A376" s="75"/>
      <c r="B376" s="75"/>
      <c r="C376" s="76"/>
      <c r="D376" s="76"/>
      <c r="E376" s="75"/>
      <c r="F376" s="75"/>
      <c r="G376" s="75"/>
      <c r="H376" s="75"/>
      <c r="I376" s="75"/>
      <c r="J376" s="75"/>
      <c r="K376" s="75"/>
      <c r="L376" s="75"/>
      <c r="M376" s="75"/>
      <c r="N376" s="75"/>
      <c r="O376" s="75"/>
      <c r="P376" s="75"/>
      <c r="Q376" s="75"/>
      <c r="R376" s="75"/>
      <c r="S376" s="75"/>
      <c r="T376" s="75"/>
      <c r="U376" s="75"/>
      <c r="V376" s="77"/>
      <c r="W376" s="75"/>
      <c r="X376" s="75"/>
      <c r="Y376" s="75"/>
      <c r="Z376" s="78"/>
      <c r="AA376" s="78"/>
      <c r="AB376" s="75"/>
      <c r="AJ376" s="72"/>
    </row>
    <row r="377" spans="1:36" s="69" customFormat="1" x14ac:dyDescent="0.25">
      <c r="A377" s="75"/>
      <c r="B377" s="75"/>
      <c r="C377" s="76"/>
      <c r="D377" s="76"/>
      <c r="E377" s="75"/>
      <c r="F377" s="75"/>
      <c r="G377" s="75"/>
      <c r="H377" s="75"/>
      <c r="I377" s="75"/>
      <c r="J377" s="75"/>
      <c r="K377" s="75"/>
      <c r="L377" s="75"/>
      <c r="M377" s="75"/>
      <c r="N377" s="75"/>
      <c r="O377" s="75"/>
      <c r="P377" s="75"/>
      <c r="Q377" s="75"/>
      <c r="R377" s="75"/>
      <c r="S377" s="75"/>
      <c r="T377" s="75"/>
      <c r="U377" s="75"/>
      <c r="V377" s="77"/>
      <c r="W377" s="75"/>
      <c r="X377" s="75"/>
      <c r="Y377" s="75"/>
      <c r="Z377" s="78"/>
      <c r="AA377" s="78"/>
      <c r="AB377" s="75"/>
      <c r="AJ377" s="72"/>
    </row>
    <row r="378" spans="1:36" s="69" customFormat="1" x14ac:dyDescent="0.25">
      <c r="A378" s="75"/>
      <c r="B378" s="75"/>
      <c r="C378" s="76"/>
      <c r="D378" s="76"/>
      <c r="E378" s="75"/>
      <c r="F378" s="75"/>
      <c r="G378" s="75"/>
      <c r="H378" s="75"/>
      <c r="I378" s="75"/>
      <c r="J378" s="75"/>
      <c r="K378" s="75"/>
      <c r="L378" s="75"/>
      <c r="M378" s="75"/>
      <c r="N378" s="75"/>
      <c r="O378" s="75"/>
      <c r="P378" s="75"/>
      <c r="Q378" s="75"/>
      <c r="R378" s="75"/>
      <c r="S378" s="75"/>
      <c r="T378" s="75"/>
      <c r="U378" s="75"/>
      <c r="V378" s="77"/>
      <c r="W378" s="75"/>
      <c r="X378" s="75"/>
      <c r="Y378" s="75"/>
      <c r="Z378" s="78"/>
      <c r="AA378" s="78"/>
      <c r="AB378" s="75"/>
      <c r="AJ378" s="72"/>
    </row>
    <row r="379" spans="1:36" s="69" customFormat="1" x14ac:dyDescent="0.25">
      <c r="A379" s="75"/>
      <c r="B379" s="75"/>
      <c r="C379" s="76"/>
      <c r="D379" s="76"/>
      <c r="E379" s="75"/>
      <c r="F379" s="75"/>
      <c r="G379" s="75"/>
      <c r="H379" s="75"/>
      <c r="I379" s="75"/>
      <c r="J379" s="75"/>
      <c r="K379" s="75"/>
      <c r="L379" s="75"/>
      <c r="M379" s="75"/>
      <c r="N379" s="75"/>
      <c r="O379" s="75"/>
      <c r="P379" s="75"/>
      <c r="Q379" s="75"/>
      <c r="R379" s="75"/>
      <c r="S379" s="75"/>
      <c r="T379" s="75"/>
      <c r="U379" s="75"/>
      <c r="V379" s="77"/>
      <c r="W379" s="75"/>
      <c r="X379" s="75"/>
      <c r="Y379" s="75"/>
      <c r="Z379" s="78"/>
      <c r="AA379" s="78"/>
      <c r="AB379" s="75"/>
      <c r="AJ379" s="72"/>
    </row>
    <row r="380" spans="1:36" s="69" customFormat="1" x14ac:dyDescent="0.25">
      <c r="A380" s="75"/>
      <c r="B380" s="75"/>
      <c r="C380" s="76"/>
      <c r="D380" s="76"/>
      <c r="E380" s="75"/>
      <c r="F380" s="75"/>
      <c r="G380" s="75"/>
      <c r="H380" s="75"/>
      <c r="I380" s="75"/>
      <c r="J380" s="75"/>
      <c r="K380" s="75"/>
      <c r="L380" s="75"/>
      <c r="M380" s="75"/>
      <c r="N380" s="75"/>
      <c r="O380" s="75"/>
      <c r="P380" s="75"/>
      <c r="Q380" s="75"/>
      <c r="R380" s="75"/>
      <c r="S380" s="75"/>
      <c r="T380" s="75"/>
      <c r="U380" s="75"/>
      <c r="V380" s="77"/>
      <c r="W380" s="75"/>
      <c r="X380" s="75"/>
      <c r="Y380" s="75"/>
      <c r="Z380" s="78"/>
      <c r="AA380" s="78"/>
      <c r="AB380" s="75"/>
      <c r="AJ380" s="72"/>
    </row>
    <row r="381" spans="1:36" s="69" customFormat="1" x14ac:dyDescent="0.25">
      <c r="A381" s="75"/>
      <c r="B381" s="75"/>
      <c r="C381" s="76"/>
      <c r="D381" s="76"/>
      <c r="E381" s="75"/>
      <c r="F381" s="75"/>
      <c r="G381" s="75"/>
      <c r="H381" s="75"/>
      <c r="I381" s="75"/>
      <c r="J381" s="75"/>
      <c r="K381" s="75"/>
      <c r="L381" s="75"/>
      <c r="M381" s="75"/>
      <c r="N381" s="75"/>
      <c r="O381" s="75"/>
      <c r="P381" s="75"/>
      <c r="Q381" s="75"/>
      <c r="R381" s="75"/>
      <c r="S381" s="75"/>
      <c r="T381" s="75"/>
      <c r="U381" s="75"/>
      <c r="V381" s="77"/>
      <c r="W381" s="75"/>
      <c r="X381" s="75"/>
      <c r="Y381" s="75"/>
      <c r="Z381" s="78"/>
      <c r="AA381" s="78"/>
      <c r="AB381" s="75"/>
      <c r="AJ381" s="72"/>
    </row>
    <row r="382" spans="1:36" s="69" customFormat="1" x14ac:dyDescent="0.25">
      <c r="A382" s="75"/>
      <c r="B382" s="75"/>
      <c r="C382" s="76"/>
      <c r="D382" s="76"/>
      <c r="E382" s="75"/>
      <c r="F382" s="75"/>
      <c r="G382" s="75"/>
      <c r="H382" s="75"/>
      <c r="I382" s="75"/>
      <c r="J382" s="75"/>
      <c r="K382" s="75"/>
      <c r="L382" s="75"/>
      <c r="M382" s="75"/>
      <c r="N382" s="75"/>
      <c r="O382" s="75"/>
      <c r="P382" s="75"/>
      <c r="Q382" s="75"/>
      <c r="R382" s="75"/>
      <c r="S382" s="75"/>
      <c r="T382" s="75"/>
      <c r="U382" s="75"/>
      <c r="V382" s="77"/>
      <c r="W382" s="75"/>
      <c r="X382" s="75"/>
      <c r="Y382" s="75"/>
      <c r="Z382" s="78"/>
      <c r="AA382" s="78"/>
      <c r="AB382" s="75"/>
      <c r="AJ382" s="72"/>
    </row>
    <row r="383" spans="1:36" s="69" customFormat="1" x14ac:dyDescent="0.25">
      <c r="A383" s="75"/>
      <c r="B383" s="75"/>
      <c r="C383" s="76"/>
      <c r="D383" s="76"/>
      <c r="E383" s="75"/>
      <c r="F383" s="75"/>
      <c r="G383" s="75"/>
      <c r="H383" s="75"/>
      <c r="I383" s="75"/>
      <c r="J383" s="75"/>
      <c r="K383" s="75"/>
      <c r="L383" s="75"/>
      <c r="M383" s="75"/>
      <c r="N383" s="75"/>
      <c r="O383" s="75"/>
      <c r="P383" s="75"/>
      <c r="Q383" s="75"/>
      <c r="R383" s="75"/>
      <c r="S383" s="75"/>
      <c r="T383" s="75"/>
      <c r="U383" s="75"/>
      <c r="V383" s="77"/>
      <c r="W383" s="75"/>
      <c r="X383" s="75"/>
      <c r="Y383" s="75"/>
      <c r="Z383" s="78"/>
      <c r="AA383" s="78"/>
      <c r="AB383" s="75"/>
      <c r="AJ383" s="72"/>
    </row>
    <row r="384" spans="1:36" s="69" customFormat="1" x14ac:dyDescent="0.25">
      <c r="A384" s="75"/>
      <c r="B384" s="75"/>
      <c r="C384" s="76"/>
      <c r="D384" s="76"/>
      <c r="E384" s="75"/>
      <c r="F384" s="75"/>
      <c r="G384" s="75"/>
      <c r="H384" s="75"/>
      <c r="I384" s="75"/>
      <c r="J384" s="75"/>
      <c r="K384" s="75"/>
      <c r="L384" s="75"/>
      <c r="M384" s="75"/>
      <c r="N384" s="75"/>
      <c r="O384" s="75"/>
      <c r="P384" s="75"/>
      <c r="Q384" s="75"/>
      <c r="R384" s="75"/>
      <c r="S384" s="75"/>
      <c r="T384" s="75"/>
      <c r="U384" s="75"/>
      <c r="V384" s="77"/>
      <c r="W384" s="75"/>
      <c r="X384" s="75"/>
      <c r="Y384" s="75"/>
      <c r="Z384" s="78"/>
      <c r="AA384" s="78"/>
      <c r="AB384" s="75"/>
      <c r="AJ384" s="72"/>
    </row>
    <row r="385" spans="1:36" s="69" customFormat="1" x14ac:dyDescent="0.25">
      <c r="A385" s="75"/>
      <c r="B385" s="75"/>
      <c r="C385" s="76"/>
      <c r="D385" s="76"/>
      <c r="E385" s="75"/>
      <c r="F385" s="75"/>
      <c r="G385" s="75"/>
      <c r="H385" s="75"/>
      <c r="I385" s="75"/>
      <c r="J385" s="75"/>
      <c r="K385" s="75"/>
      <c r="L385" s="75"/>
      <c r="M385" s="75"/>
      <c r="N385" s="75"/>
      <c r="O385" s="75"/>
      <c r="P385" s="75"/>
      <c r="Q385" s="75"/>
      <c r="R385" s="75"/>
      <c r="S385" s="75"/>
      <c r="T385" s="75"/>
      <c r="U385" s="75"/>
      <c r="V385" s="77"/>
      <c r="W385" s="75"/>
      <c r="X385" s="75"/>
      <c r="Y385" s="75"/>
      <c r="Z385" s="78"/>
      <c r="AA385" s="78"/>
      <c r="AB385" s="75"/>
      <c r="AJ385" s="72"/>
    </row>
    <row r="386" spans="1:36" s="69" customFormat="1" x14ac:dyDescent="0.25">
      <c r="A386" s="75"/>
      <c r="B386" s="75"/>
      <c r="C386" s="76"/>
      <c r="D386" s="76"/>
      <c r="E386" s="75"/>
      <c r="F386" s="75"/>
      <c r="G386" s="75"/>
      <c r="H386" s="75"/>
      <c r="I386" s="75"/>
      <c r="J386" s="75"/>
      <c r="K386" s="75"/>
      <c r="L386" s="75"/>
      <c r="M386" s="75"/>
      <c r="N386" s="75"/>
      <c r="O386" s="75"/>
      <c r="P386" s="75"/>
      <c r="Q386" s="75"/>
      <c r="R386" s="75"/>
      <c r="S386" s="75"/>
      <c r="T386" s="75"/>
      <c r="U386" s="75"/>
      <c r="V386" s="77"/>
      <c r="W386" s="75"/>
      <c r="X386" s="75"/>
      <c r="Y386" s="75"/>
      <c r="Z386" s="78"/>
      <c r="AA386" s="78"/>
      <c r="AB386" s="75"/>
      <c r="AJ386" s="72"/>
    </row>
    <row r="387" spans="1:36" s="69" customFormat="1" x14ac:dyDescent="0.25">
      <c r="A387" s="75"/>
      <c r="B387" s="75"/>
      <c r="C387" s="76"/>
      <c r="D387" s="76"/>
      <c r="E387" s="75"/>
      <c r="F387" s="75"/>
      <c r="G387" s="75"/>
      <c r="H387" s="75"/>
      <c r="I387" s="75"/>
      <c r="J387" s="75"/>
      <c r="K387" s="75"/>
      <c r="L387" s="75"/>
      <c r="M387" s="75"/>
      <c r="N387" s="75"/>
      <c r="O387" s="75"/>
      <c r="P387" s="75"/>
      <c r="Q387" s="75"/>
      <c r="R387" s="75"/>
      <c r="S387" s="75"/>
      <c r="T387" s="75"/>
      <c r="U387" s="75"/>
      <c r="V387" s="77"/>
      <c r="W387" s="75"/>
      <c r="X387" s="75"/>
      <c r="Y387" s="75"/>
      <c r="Z387" s="78"/>
      <c r="AA387" s="78"/>
      <c r="AB387" s="75"/>
      <c r="AJ387" s="72"/>
    </row>
    <row r="388" spans="1:36" s="69" customFormat="1" x14ac:dyDescent="0.25">
      <c r="A388" s="75"/>
      <c r="B388" s="75"/>
      <c r="C388" s="76"/>
      <c r="D388" s="76"/>
      <c r="E388" s="75"/>
      <c r="F388" s="75"/>
      <c r="G388" s="75"/>
      <c r="H388" s="75"/>
      <c r="I388" s="75"/>
      <c r="J388" s="75"/>
      <c r="K388" s="75"/>
      <c r="L388" s="75"/>
      <c r="M388" s="75"/>
      <c r="N388" s="75"/>
      <c r="O388" s="75"/>
      <c r="P388" s="75"/>
      <c r="Q388" s="75"/>
      <c r="R388" s="75"/>
      <c r="S388" s="75"/>
      <c r="T388" s="75"/>
      <c r="U388" s="75"/>
      <c r="V388" s="77"/>
      <c r="W388" s="75"/>
      <c r="X388" s="75"/>
      <c r="Y388" s="75"/>
      <c r="Z388" s="78"/>
      <c r="AA388" s="78"/>
      <c r="AB388" s="75"/>
      <c r="AJ388" s="72"/>
    </row>
    <row r="389" spans="1:36" s="69" customFormat="1" x14ac:dyDescent="0.25">
      <c r="A389" s="75"/>
      <c r="B389" s="75"/>
      <c r="C389" s="76"/>
      <c r="D389" s="76"/>
      <c r="E389" s="75"/>
      <c r="F389" s="75"/>
      <c r="G389" s="75"/>
      <c r="H389" s="75"/>
      <c r="I389" s="75"/>
      <c r="J389" s="75"/>
      <c r="K389" s="75"/>
      <c r="L389" s="75"/>
      <c r="M389" s="75"/>
      <c r="N389" s="75"/>
      <c r="O389" s="75"/>
      <c r="P389" s="75"/>
      <c r="Q389" s="75"/>
      <c r="R389" s="75"/>
      <c r="S389" s="75"/>
      <c r="T389" s="75"/>
      <c r="U389" s="75"/>
      <c r="V389" s="77"/>
      <c r="W389" s="75"/>
      <c r="X389" s="75"/>
      <c r="Y389" s="75"/>
      <c r="Z389" s="78"/>
      <c r="AA389" s="78"/>
      <c r="AB389" s="75"/>
      <c r="AJ389" s="72"/>
    </row>
    <row r="390" spans="1:36" s="69" customFormat="1" x14ac:dyDescent="0.25">
      <c r="A390" s="75"/>
      <c r="B390" s="75"/>
      <c r="C390" s="76"/>
      <c r="D390" s="76"/>
      <c r="E390" s="75"/>
      <c r="F390" s="75"/>
      <c r="G390" s="75"/>
      <c r="H390" s="75"/>
      <c r="I390" s="75"/>
      <c r="J390" s="75"/>
      <c r="K390" s="75"/>
      <c r="L390" s="75"/>
      <c r="M390" s="75"/>
      <c r="N390" s="75"/>
      <c r="O390" s="75"/>
      <c r="P390" s="75"/>
      <c r="Q390" s="75"/>
      <c r="R390" s="75"/>
      <c r="S390" s="75"/>
      <c r="T390" s="75"/>
      <c r="U390" s="75"/>
      <c r="V390" s="77"/>
      <c r="W390" s="75"/>
      <c r="X390" s="75"/>
      <c r="Y390" s="75"/>
      <c r="Z390" s="78"/>
      <c r="AA390" s="78"/>
      <c r="AB390" s="75"/>
      <c r="AJ390" s="72"/>
    </row>
    <row r="391" spans="1:36" s="69" customFormat="1" x14ac:dyDescent="0.25">
      <c r="A391" s="75"/>
      <c r="B391" s="75"/>
      <c r="C391" s="76"/>
      <c r="D391" s="76"/>
      <c r="E391" s="75"/>
      <c r="F391" s="75"/>
      <c r="G391" s="75"/>
      <c r="H391" s="75"/>
      <c r="I391" s="75"/>
      <c r="J391" s="75"/>
      <c r="K391" s="75"/>
      <c r="L391" s="75"/>
      <c r="M391" s="75"/>
      <c r="N391" s="75"/>
      <c r="O391" s="75"/>
      <c r="P391" s="75"/>
      <c r="Q391" s="75"/>
      <c r="R391" s="75"/>
      <c r="S391" s="75"/>
      <c r="T391" s="75"/>
      <c r="U391" s="75"/>
      <c r="V391" s="77"/>
      <c r="W391" s="75"/>
      <c r="X391" s="75"/>
      <c r="Y391" s="75"/>
      <c r="Z391" s="78"/>
      <c r="AA391" s="78"/>
      <c r="AB391" s="75"/>
      <c r="AJ391" s="72"/>
    </row>
    <row r="392" spans="1:36" s="69" customFormat="1" x14ac:dyDescent="0.25">
      <c r="A392" s="75"/>
      <c r="B392" s="75"/>
      <c r="C392" s="76"/>
      <c r="D392" s="76"/>
      <c r="E392" s="75"/>
      <c r="F392" s="75"/>
      <c r="G392" s="75"/>
      <c r="H392" s="75"/>
      <c r="I392" s="75"/>
      <c r="J392" s="75"/>
      <c r="K392" s="75"/>
      <c r="L392" s="75"/>
      <c r="M392" s="75"/>
      <c r="N392" s="75"/>
      <c r="O392" s="75"/>
      <c r="P392" s="75"/>
      <c r="Q392" s="75"/>
      <c r="R392" s="75"/>
      <c r="S392" s="75"/>
      <c r="T392" s="75"/>
      <c r="U392" s="75"/>
      <c r="V392" s="77"/>
      <c r="W392" s="75"/>
      <c r="X392" s="75"/>
      <c r="Y392" s="75"/>
      <c r="Z392" s="78"/>
      <c r="AA392" s="78"/>
      <c r="AB392" s="75"/>
      <c r="AJ392" s="72"/>
    </row>
    <row r="393" spans="1:36" s="69" customFormat="1" x14ac:dyDescent="0.25">
      <c r="A393" s="75"/>
      <c r="B393" s="75"/>
      <c r="C393" s="76"/>
      <c r="D393" s="76"/>
      <c r="E393" s="75"/>
      <c r="F393" s="75"/>
      <c r="G393" s="75"/>
      <c r="H393" s="75"/>
      <c r="I393" s="75"/>
      <c r="J393" s="75"/>
      <c r="K393" s="75"/>
      <c r="L393" s="75"/>
      <c r="M393" s="75"/>
      <c r="N393" s="75"/>
      <c r="O393" s="75"/>
      <c r="P393" s="75"/>
      <c r="Q393" s="75"/>
      <c r="R393" s="75"/>
      <c r="S393" s="75"/>
      <c r="T393" s="75"/>
      <c r="U393" s="75"/>
      <c r="V393" s="77"/>
      <c r="W393" s="75"/>
      <c r="X393" s="75"/>
      <c r="Y393" s="75"/>
      <c r="Z393" s="78"/>
      <c r="AA393" s="78"/>
      <c r="AB393" s="75"/>
      <c r="AJ393" s="72"/>
    </row>
    <row r="394" spans="1:36" s="69" customFormat="1" x14ac:dyDescent="0.25">
      <c r="A394" s="75"/>
      <c r="B394" s="75"/>
      <c r="C394" s="76"/>
      <c r="D394" s="76"/>
      <c r="E394" s="75"/>
      <c r="F394" s="75"/>
      <c r="G394" s="75"/>
      <c r="H394" s="75"/>
      <c r="I394" s="75"/>
      <c r="J394" s="75"/>
      <c r="K394" s="75"/>
      <c r="L394" s="75"/>
      <c r="M394" s="75"/>
      <c r="N394" s="75"/>
      <c r="O394" s="75"/>
      <c r="P394" s="75"/>
      <c r="Q394" s="75"/>
      <c r="R394" s="75"/>
      <c r="S394" s="75"/>
      <c r="T394" s="75"/>
      <c r="U394" s="75"/>
      <c r="V394" s="77"/>
      <c r="W394" s="75"/>
      <c r="X394" s="75"/>
      <c r="Y394" s="75"/>
      <c r="Z394" s="78"/>
      <c r="AA394" s="78"/>
      <c r="AB394" s="75"/>
      <c r="AJ394" s="72"/>
    </row>
    <row r="395" spans="1:36" s="69" customFormat="1" x14ac:dyDescent="0.25">
      <c r="A395" s="75"/>
      <c r="B395" s="75"/>
      <c r="C395" s="76"/>
      <c r="D395" s="76"/>
      <c r="E395" s="75"/>
      <c r="F395" s="75"/>
      <c r="G395" s="75"/>
      <c r="H395" s="75"/>
      <c r="I395" s="75"/>
      <c r="J395" s="75"/>
      <c r="K395" s="75"/>
      <c r="L395" s="75"/>
      <c r="M395" s="75"/>
      <c r="N395" s="75"/>
      <c r="O395" s="75"/>
      <c r="P395" s="75"/>
      <c r="Q395" s="75"/>
      <c r="R395" s="75"/>
      <c r="S395" s="75"/>
      <c r="T395" s="75"/>
      <c r="U395" s="75"/>
      <c r="V395" s="77"/>
      <c r="W395" s="75"/>
      <c r="X395" s="75"/>
      <c r="Y395" s="75"/>
      <c r="Z395" s="78"/>
      <c r="AA395" s="78"/>
      <c r="AB395" s="75"/>
      <c r="AJ395" s="72"/>
    </row>
    <row r="396" spans="1:36" s="69" customFormat="1" x14ac:dyDescent="0.25">
      <c r="A396" s="75"/>
      <c r="B396" s="75"/>
      <c r="C396" s="76"/>
      <c r="D396" s="76"/>
      <c r="E396" s="75"/>
      <c r="F396" s="75"/>
      <c r="G396" s="75"/>
      <c r="H396" s="75"/>
      <c r="I396" s="75"/>
      <c r="J396" s="75"/>
      <c r="K396" s="75"/>
      <c r="L396" s="75"/>
      <c r="M396" s="75"/>
      <c r="N396" s="75"/>
      <c r="O396" s="75"/>
      <c r="P396" s="75"/>
      <c r="Q396" s="75"/>
      <c r="R396" s="75"/>
      <c r="S396" s="75"/>
      <c r="T396" s="75"/>
      <c r="U396" s="75"/>
      <c r="V396" s="77"/>
      <c r="W396" s="75"/>
      <c r="X396" s="75"/>
      <c r="Y396" s="75"/>
      <c r="Z396" s="78"/>
      <c r="AA396" s="78"/>
      <c r="AB396" s="75"/>
      <c r="AJ396" s="72"/>
    </row>
    <row r="397" spans="1:36" s="69" customFormat="1" x14ac:dyDescent="0.25">
      <c r="A397" s="75"/>
      <c r="B397" s="75"/>
      <c r="C397" s="76"/>
      <c r="D397" s="76"/>
      <c r="E397" s="75"/>
      <c r="F397" s="75"/>
      <c r="G397" s="75"/>
      <c r="H397" s="75"/>
      <c r="I397" s="75"/>
      <c r="J397" s="75"/>
      <c r="K397" s="75"/>
      <c r="L397" s="75"/>
      <c r="M397" s="75"/>
      <c r="N397" s="75"/>
      <c r="O397" s="75"/>
      <c r="P397" s="75"/>
      <c r="Q397" s="75"/>
      <c r="R397" s="75"/>
      <c r="S397" s="75"/>
      <c r="T397" s="75"/>
      <c r="U397" s="75"/>
      <c r="V397" s="77"/>
      <c r="W397" s="75"/>
      <c r="X397" s="75"/>
      <c r="Y397" s="75"/>
      <c r="Z397" s="78"/>
      <c r="AA397" s="78"/>
      <c r="AB397" s="75"/>
      <c r="AJ397" s="72"/>
    </row>
    <row r="398" spans="1:36" s="69" customFormat="1" x14ac:dyDescent="0.25">
      <c r="A398" s="75"/>
      <c r="B398" s="75"/>
      <c r="C398" s="76"/>
      <c r="D398" s="76"/>
      <c r="E398" s="75"/>
      <c r="F398" s="75"/>
      <c r="G398" s="75"/>
      <c r="H398" s="75"/>
      <c r="I398" s="75"/>
      <c r="J398" s="75"/>
      <c r="K398" s="75"/>
      <c r="L398" s="75"/>
      <c r="M398" s="75"/>
      <c r="N398" s="75"/>
      <c r="O398" s="75"/>
      <c r="P398" s="75"/>
      <c r="Q398" s="75"/>
      <c r="R398" s="75"/>
      <c r="S398" s="75"/>
      <c r="T398" s="75"/>
      <c r="U398" s="75"/>
      <c r="V398" s="77"/>
      <c r="W398" s="75"/>
      <c r="X398" s="75"/>
      <c r="Y398" s="75"/>
      <c r="Z398" s="78"/>
      <c r="AA398" s="78"/>
      <c r="AB398" s="75"/>
      <c r="AJ398" s="72"/>
    </row>
    <row r="399" spans="1:36" s="69" customFormat="1" x14ac:dyDescent="0.25">
      <c r="A399" s="75"/>
      <c r="B399" s="75"/>
      <c r="C399" s="76"/>
      <c r="D399" s="76"/>
      <c r="E399" s="75"/>
      <c r="F399" s="75"/>
      <c r="G399" s="75"/>
      <c r="H399" s="75"/>
      <c r="I399" s="75"/>
      <c r="J399" s="75"/>
      <c r="K399" s="75"/>
      <c r="L399" s="75"/>
      <c r="M399" s="75"/>
      <c r="N399" s="75"/>
      <c r="O399" s="75"/>
      <c r="P399" s="75"/>
      <c r="Q399" s="75"/>
      <c r="R399" s="75"/>
      <c r="S399" s="75"/>
      <c r="T399" s="75"/>
      <c r="U399" s="75"/>
      <c r="V399" s="77"/>
      <c r="W399" s="75"/>
      <c r="X399" s="75"/>
      <c r="Y399" s="75"/>
      <c r="Z399" s="78"/>
      <c r="AA399" s="78"/>
      <c r="AB399" s="75"/>
      <c r="AJ399" s="72"/>
    </row>
    <row r="400" spans="1:36" s="69" customFormat="1" x14ac:dyDescent="0.25">
      <c r="A400" s="75"/>
      <c r="B400" s="75"/>
      <c r="C400" s="76"/>
      <c r="D400" s="76"/>
      <c r="E400" s="75"/>
      <c r="F400" s="75"/>
      <c r="G400" s="75"/>
      <c r="H400" s="75"/>
      <c r="I400" s="75"/>
      <c r="J400" s="75"/>
      <c r="K400" s="75"/>
      <c r="L400" s="75"/>
      <c r="M400" s="75"/>
      <c r="N400" s="75"/>
      <c r="O400" s="75"/>
      <c r="P400" s="75"/>
      <c r="Q400" s="75"/>
      <c r="R400" s="75"/>
      <c r="S400" s="75"/>
      <c r="T400" s="75"/>
      <c r="U400" s="75"/>
      <c r="V400" s="77"/>
      <c r="W400" s="75"/>
      <c r="X400" s="75"/>
      <c r="Y400" s="75"/>
      <c r="Z400" s="78"/>
      <c r="AA400" s="78"/>
      <c r="AB400" s="75"/>
      <c r="AJ400" s="72"/>
    </row>
    <row r="401" spans="1:36" s="69" customFormat="1" x14ac:dyDescent="0.25">
      <c r="A401" s="75"/>
      <c r="B401" s="75"/>
      <c r="C401" s="76"/>
      <c r="D401" s="76"/>
      <c r="E401" s="75"/>
      <c r="F401" s="75"/>
      <c r="G401" s="75"/>
      <c r="H401" s="75"/>
      <c r="I401" s="75"/>
      <c r="J401" s="75"/>
      <c r="K401" s="75"/>
      <c r="L401" s="75"/>
      <c r="M401" s="75"/>
      <c r="N401" s="75"/>
      <c r="O401" s="75"/>
      <c r="P401" s="75"/>
      <c r="Q401" s="75"/>
      <c r="R401" s="75"/>
      <c r="S401" s="75"/>
      <c r="T401" s="75"/>
      <c r="U401" s="75"/>
      <c r="V401" s="77"/>
      <c r="W401" s="75"/>
      <c r="X401" s="75"/>
      <c r="Y401" s="75"/>
      <c r="Z401" s="78"/>
      <c r="AA401" s="78"/>
      <c r="AB401" s="75"/>
      <c r="AJ401" s="72"/>
    </row>
    <row r="402" spans="1:36" s="69" customFormat="1" x14ac:dyDescent="0.25">
      <c r="A402" s="75"/>
      <c r="B402" s="75"/>
      <c r="C402" s="76"/>
      <c r="D402" s="76"/>
      <c r="E402" s="75"/>
      <c r="F402" s="75"/>
      <c r="G402" s="75"/>
      <c r="H402" s="75"/>
      <c r="I402" s="75"/>
      <c r="J402" s="75"/>
      <c r="K402" s="75"/>
      <c r="L402" s="75"/>
      <c r="M402" s="75"/>
      <c r="N402" s="75"/>
      <c r="O402" s="75"/>
      <c r="P402" s="75"/>
      <c r="Q402" s="75"/>
      <c r="R402" s="75"/>
      <c r="S402" s="75"/>
      <c r="T402" s="75"/>
      <c r="U402" s="75"/>
      <c r="V402" s="77"/>
      <c r="W402" s="75"/>
      <c r="X402" s="75"/>
      <c r="Y402" s="75"/>
      <c r="Z402" s="78"/>
      <c r="AA402" s="78"/>
      <c r="AB402" s="75"/>
      <c r="AJ402" s="72"/>
    </row>
    <row r="403" spans="1:36" s="69" customFormat="1" x14ac:dyDescent="0.25">
      <c r="A403" s="75"/>
      <c r="B403" s="75"/>
      <c r="C403" s="76"/>
      <c r="D403" s="76"/>
      <c r="E403" s="75"/>
      <c r="F403" s="75"/>
      <c r="G403" s="75"/>
      <c r="H403" s="75"/>
      <c r="I403" s="75"/>
      <c r="J403" s="75"/>
      <c r="K403" s="75"/>
      <c r="L403" s="75"/>
      <c r="M403" s="75"/>
      <c r="N403" s="75"/>
      <c r="O403" s="75"/>
      <c r="P403" s="75"/>
      <c r="Q403" s="75"/>
      <c r="R403" s="75"/>
      <c r="S403" s="75"/>
      <c r="T403" s="75"/>
      <c r="U403" s="75"/>
      <c r="V403" s="77"/>
      <c r="W403" s="75"/>
      <c r="X403" s="75"/>
      <c r="Y403" s="75"/>
      <c r="Z403" s="78"/>
      <c r="AA403" s="78"/>
      <c r="AB403" s="75"/>
      <c r="AJ403" s="72"/>
    </row>
    <row r="404" spans="1:36" s="69" customFormat="1" x14ac:dyDescent="0.25">
      <c r="A404" s="75"/>
      <c r="B404" s="75"/>
      <c r="C404" s="76"/>
      <c r="D404" s="76"/>
      <c r="E404" s="75"/>
      <c r="F404" s="75"/>
      <c r="G404" s="75"/>
      <c r="H404" s="75"/>
      <c r="I404" s="75"/>
      <c r="J404" s="75"/>
      <c r="K404" s="75"/>
      <c r="L404" s="75"/>
      <c r="M404" s="75"/>
      <c r="N404" s="75"/>
      <c r="O404" s="75"/>
      <c r="P404" s="75"/>
      <c r="Q404" s="75"/>
      <c r="R404" s="75"/>
      <c r="S404" s="75"/>
      <c r="T404" s="75"/>
      <c r="U404" s="75"/>
      <c r="V404" s="77"/>
      <c r="W404" s="75"/>
      <c r="X404" s="75"/>
      <c r="Y404" s="75"/>
      <c r="Z404" s="78"/>
      <c r="AA404" s="78"/>
      <c r="AB404" s="75"/>
      <c r="AJ404" s="72"/>
    </row>
    <row r="405" spans="1:36" s="69" customFormat="1" x14ac:dyDescent="0.25">
      <c r="A405" s="75"/>
      <c r="B405" s="75"/>
      <c r="C405" s="76"/>
      <c r="D405" s="76"/>
      <c r="E405" s="75"/>
      <c r="F405" s="75"/>
      <c r="G405" s="75"/>
      <c r="H405" s="75"/>
      <c r="I405" s="75"/>
      <c r="J405" s="75"/>
      <c r="K405" s="75"/>
      <c r="L405" s="75"/>
      <c r="M405" s="75"/>
      <c r="N405" s="75"/>
      <c r="O405" s="75"/>
      <c r="P405" s="75"/>
      <c r="Q405" s="75"/>
      <c r="R405" s="75"/>
      <c r="S405" s="75"/>
      <c r="T405" s="75"/>
      <c r="U405" s="75"/>
      <c r="V405" s="77"/>
      <c r="W405" s="75"/>
      <c r="X405" s="75"/>
      <c r="Y405" s="75"/>
      <c r="Z405" s="78"/>
      <c r="AA405" s="78"/>
      <c r="AB405" s="75"/>
      <c r="AJ405" s="72"/>
    </row>
    <row r="406" spans="1:36" s="69" customFormat="1" x14ac:dyDescent="0.25">
      <c r="A406" s="75"/>
      <c r="B406" s="75"/>
      <c r="C406" s="76"/>
      <c r="D406" s="76"/>
      <c r="E406" s="75"/>
      <c r="F406" s="75"/>
      <c r="G406" s="75"/>
      <c r="H406" s="75"/>
      <c r="I406" s="75"/>
      <c r="J406" s="75"/>
      <c r="K406" s="75"/>
      <c r="L406" s="75"/>
      <c r="M406" s="75"/>
      <c r="N406" s="75"/>
      <c r="O406" s="75"/>
      <c r="P406" s="75"/>
      <c r="Q406" s="75"/>
      <c r="R406" s="75"/>
      <c r="S406" s="75"/>
      <c r="T406" s="75"/>
      <c r="U406" s="75"/>
      <c r="V406" s="77"/>
      <c r="W406" s="75"/>
      <c r="X406" s="75"/>
      <c r="Y406" s="75"/>
      <c r="Z406" s="78"/>
      <c r="AA406" s="78"/>
      <c r="AB406" s="75"/>
      <c r="AJ406" s="72"/>
    </row>
    <row r="407" spans="1:36" s="69" customFormat="1" x14ac:dyDescent="0.25">
      <c r="A407" s="75"/>
      <c r="B407" s="75"/>
      <c r="C407" s="76"/>
      <c r="D407" s="76"/>
      <c r="E407" s="75"/>
      <c r="F407" s="75"/>
      <c r="G407" s="75"/>
      <c r="H407" s="75"/>
      <c r="I407" s="75"/>
      <c r="J407" s="75"/>
      <c r="K407" s="75"/>
      <c r="L407" s="75"/>
      <c r="M407" s="75"/>
      <c r="N407" s="75"/>
      <c r="O407" s="75"/>
      <c r="P407" s="75"/>
      <c r="Q407" s="75"/>
      <c r="R407" s="75"/>
      <c r="S407" s="75"/>
      <c r="T407" s="75"/>
      <c r="U407" s="75"/>
      <c r="V407" s="77"/>
      <c r="W407" s="75"/>
      <c r="X407" s="75"/>
      <c r="Y407" s="75"/>
      <c r="Z407" s="78"/>
      <c r="AA407" s="78"/>
      <c r="AB407" s="75"/>
      <c r="AJ407" s="72"/>
    </row>
    <row r="408" spans="1:36" s="69" customFormat="1" x14ac:dyDescent="0.25">
      <c r="A408" s="75"/>
      <c r="B408" s="75"/>
      <c r="C408" s="76"/>
      <c r="D408" s="76"/>
      <c r="E408" s="75"/>
      <c r="F408" s="75"/>
      <c r="G408" s="75"/>
      <c r="H408" s="75"/>
      <c r="I408" s="75"/>
      <c r="J408" s="75"/>
      <c r="K408" s="75"/>
      <c r="L408" s="75"/>
      <c r="M408" s="75"/>
      <c r="N408" s="75"/>
      <c r="O408" s="75"/>
      <c r="P408" s="75"/>
      <c r="Q408" s="75"/>
      <c r="R408" s="75"/>
      <c r="S408" s="75"/>
      <c r="T408" s="75"/>
      <c r="U408" s="75"/>
      <c r="V408" s="77"/>
      <c r="W408" s="75"/>
      <c r="X408" s="75"/>
      <c r="Y408" s="75"/>
      <c r="Z408" s="78"/>
      <c r="AA408" s="78"/>
      <c r="AB408" s="75"/>
      <c r="AJ408" s="72"/>
    </row>
    <row r="409" spans="1:36" s="69" customFormat="1" x14ac:dyDescent="0.25">
      <c r="A409" s="75"/>
      <c r="B409" s="75"/>
      <c r="C409" s="76"/>
      <c r="D409" s="76"/>
      <c r="E409" s="75"/>
      <c r="F409" s="75"/>
      <c r="G409" s="75"/>
      <c r="H409" s="75"/>
      <c r="I409" s="75"/>
      <c r="J409" s="75"/>
      <c r="K409" s="75"/>
      <c r="L409" s="75"/>
      <c r="M409" s="75"/>
      <c r="N409" s="75"/>
      <c r="O409" s="75"/>
      <c r="P409" s="75"/>
      <c r="Q409" s="75"/>
      <c r="R409" s="75"/>
      <c r="S409" s="75"/>
      <c r="T409" s="75"/>
      <c r="U409" s="75"/>
      <c r="V409" s="77"/>
      <c r="W409" s="75"/>
      <c r="X409" s="75"/>
      <c r="Y409" s="75"/>
      <c r="Z409" s="78"/>
      <c r="AA409" s="78"/>
      <c r="AB409" s="75"/>
      <c r="AJ409" s="72"/>
    </row>
    <row r="410" spans="1:36" s="69" customFormat="1" x14ac:dyDescent="0.25">
      <c r="A410" s="75"/>
      <c r="B410" s="75"/>
      <c r="C410" s="76"/>
      <c r="D410" s="76"/>
      <c r="E410" s="75"/>
      <c r="F410" s="75"/>
      <c r="G410" s="75"/>
      <c r="H410" s="75"/>
      <c r="I410" s="75"/>
      <c r="J410" s="75"/>
      <c r="K410" s="75"/>
      <c r="L410" s="75"/>
      <c r="M410" s="75"/>
      <c r="N410" s="75"/>
      <c r="O410" s="75"/>
      <c r="P410" s="75"/>
      <c r="Q410" s="75"/>
      <c r="R410" s="75"/>
      <c r="S410" s="75"/>
      <c r="T410" s="75"/>
      <c r="U410" s="75"/>
      <c r="V410" s="77"/>
      <c r="W410" s="75"/>
      <c r="X410" s="75"/>
      <c r="Y410" s="75"/>
      <c r="Z410" s="78"/>
      <c r="AA410" s="78"/>
      <c r="AB410" s="75"/>
      <c r="AJ410" s="72"/>
    </row>
    <row r="411" spans="1:36" s="69" customFormat="1" x14ac:dyDescent="0.25">
      <c r="A411" s="75"/>
      <c r="B411" s="75"/>
      <c r="C411" s="76"/>
      <c r="D411" s="76"/>
      <c r="E411" s="75"/>
      <c r="F411" s="75"/>
      <c r="G411" s="75"/>
      <c r="H411" s="75"/>
      <c r="I411" s="75"/>
      <c r="J411" s="75"/>
      <c r="K411" s="75"/>
      <c r="L411" s="75"/>
      <c r="M411" s="75"/>
      <c r="N411" s="75"/>
      <c r="O411" s="75"/>
      <c r="P411" s="75"/>
      <c r="Q411" s="75"/>
      <c r="R411" s="75"/>
      <c r="S411" s="75"/>
      <c r="T411" s="75"/>
      <c r="U411" s="75"/>
      <c r="V411" s="77"/>
      <c r="W411" s="75"/>
      <c r="X411" s="75"/>
      <c r="Y411" s="75"/>
      <c r="Z411" s="78"/>
      <c r="AA411" s="78"/>
      <c r="AB411" s="75"/>
      <c r="AJ411" s="72"/>
    </row>
    <row r="412" spans="1:36" s="69" customFormat="1" x14ac:dyDescent="0.25">
      <c r="A412" s="75"/>
      <c r="B412" s="75"/>
      <c r="C412" s="76"/>
      <c r="D412" s="76"/>
      <c r="E412" s="75"/>
      <c r="F412" s="75"/>
      <c r="G412" s="75"/>
      <c r="H412" s="75"/>
      <c r="I412" s="75"/>
      <c r="J412" s="75"/>
      <c r="K412" s="75"/>
      <c r="L412" s="75"/>
      <c r="M412" s="75"/>
      <c r="N412" s="75"/>
      <c r="O412" s="75"/>
      <c r="P412" s="75"/>
      <c r="Q412" s="75"/>
      <c r="R412" s="75"/>
      <c r="S412" s="75"/>
      <c r="T412" s="75"/>
      <c r="U412" s="75"/>
      <c r="V412" s="77"/>
      <c r="W412" s="75"/>
      <c r="X412" s="75"/>
      <c r="Y412" s="75"/>
      <c r="Z412" s="78"/>
      <c r="AA412" s="78"/>
      <c r="AB412" s="75"/>
      <c r="AJ412" s="72"/>
    </row>
    <row r="413" spans="1:36" s="69" customFormat="1" x14ac:dyDescent="0.25">
      <c r="A413" s="75"/>
      <c r="B413" s="75"/>
      <c r="C413" s="76"/>
      <c r="D413" s="76"/>
      <c r="E413" s="75"/>
      <c r="F413" s="75"/>
      <c r="G413" s="75"/>
      <c r="H413" s="75"/>
      <c r="I413" s="75"/>
      <c r="J413" s="75"/>
      <c r="K413" s="75"/>
      <c r="L413" s="75"/>
      <c r="M413" s="75"/>
      <c r="N413" s="75"/>
      <c r="O413" s="75"/>
      <c r="P413" s="75"/>
      <c r="Q413" s="75"/>
      <c r="R413" s="75"/>
      <c r="S413" s="75"/>
      <c r="T413" s="75"/>
      <c r="U413" s="75"/>
      <c r="V413" s="77"/>
      <c r="W413" s="75"/>
      <c r="X413" s="75"/>
      <c r="Y413" s="75"/>
      <c r="Z413" s="78"/>
      <c r="AA413" s="78"/>
      <c r="AB413" s="75"/>
      <c r="AJ413" s="72"/>
    </row>
    <row r="414" spans="1:36" s="69" customFormat="1" x14ac:dyDescent="0.25">
      <c r="A414" s="75"/>
      <c r="B414" s="75"/>
      <c r="C414" s="76"/>
      <c r="D414" s="76"/>
      <c r="E414" s="75"/>
      <c r="F414" s="75"/>
      <c r="G414" s="75"/>
      <c r="H414" s="75"/>
      <c r="I414" s="75"/>
      <c r="J414" s="75"/>
      <c r="K414" s="75"/>
      <c r="L414" s="75"/>
      <c r="M414" s="75"/>
      <c r="N414" s="75"/>
      <c r="O414" s="75"/>
      <c r="P414" s="75"/>
      <c r="Q414" s="75"/>
      <c r="R414" s="75"/>
      <c r="S414" s="75"/>
      <c r="T414" s="75"/>
      <c r="U414" s="75"/>
      <c r="V414" s="77"/>
      <c r="W414" s="75"/>
      <c r="X414" s="75"/>
      <c r="Y414" s="75"/>
      <c r="Z414" s="78"/>
      <c r="AA414" s="78"/>
      <c r="AB414" s="75"/>
      <c r="AJ414" s="72"/>
    </row>
    <row r="415" spans="1:36" s="69" customFormat="1" x14ac:dyDescent="0.25">
      <c r="A415" s="75"/>
      <c r="B415" s="75"/>
      <c r="C415" s="76"/>
      <c r="D415" s="76"/>
      <c r="E415" s="75"/>
      <c r="F415" s="75"/>
      <c r="G415" s="75"/>
      <c r="H415" s="75"/>
      <c r="I415" s="75"/>
      <c r="J415" s="75"/>
      <c r="K415" s="75"/>
      <c r="L415" s="75"/>
      <c r="M415" s="75"/>
      <c r="N415" s="75"/>
      <c r="O415" s="75"/>
      <c r="P415" s="75"/>
      <c r="Q415" s="75"/>
      <c r="R415" s="75"/>
      <c r="S415" s="75"/>
      <c r="T415" s="75"/>
      <c r="U415" s="75"/>
      <c r="V415" s="77"/>
      <c r="W415" s="75"/>
      <c r="X415" s="75"/>
      <c r="Y415" s="75"/>
      <c r="Z415" s="78"/>
      <c r="AA415" s="78"/>
      <c r="AB415" s="75"/>
      <c r="AJ415" s="72"/>
    </row>
    <row r="416" spans="1:36" s="69" customFormat="1" x14ac:dyDescent="0.25">
      <c r="A416" s="75"/>
      <c r="B416" s="75"/>
      <c r="C416" s="76"/>
      <c r="D416" s="76"/>
      <c r="E416" s="75"/>
      <c r="F416" s="75"/>
      <c r="G416" s="75"/>
      <c r="H416" s="75"/>
      <c r="I416" s="75"/>
      <c r="J416" s="75"/>
      <c r="K416" s="75"/>
      <c r="L416" s="75"/>
      <c r="M416" s="75"/>
      <c r="N416" s="75"/>
      <c r="O416" s="75"/>
      <c r="P416" s="75"/>
      <c r="Q416" s="75"/>
      <c r="R416" s="75"/>
      <c r="S416" s="75"/>
      <c r="T416" s="75"/>
      <c r="U416" s="75"/>
      <c r="V416" s="77"/>
      <c r="W416" s="75"/>
      <c r="X416" s="75"/>
      <c r="Y416" s="75"/>
      <c r="Z416" s="78"/>
      <c r="AA416" s="78"/>
      <c r="AB416" s="75"/>
      <c r="AJ416" s="72"/>
    </row>
    <row r="417" spans="1:36" s="69" customFormat="1" x14ac:dyDescent="0.25">
      <c r="A417" s="75"/>
      <c r="B417" s="75"/>
      <c r="C417" s="76"/>
      <c r="D417" s="76"/>
      <c r="E417" s="75"/>
      <c r="F417" s="75"/>
      <c r="G417" s="75"/>
      <c r="H417" s="75"/>
      <c r="I417" s="75"/>
      <c r="J417" s="75"/>
      <c r="K417" s="75"/>
      <c r="L417" s="75"/>
      <c r="M417" s="75"/>
      <c r="N417" s="75"/>
      <c r="O417" s="75"/>
      <c r="P417" s="75"/>
      <c r="Q417" s="75"/>
      <c r="R417" s="75"/>
      <c r="S417" s="75"/>
      <c r="T417" s="75"/>
      <c r="U417" s="75"/>
      <c r="V417" s="77"/>
      <c r="W417" s="75"/>
      <c r="X417" s="75"/>
      <c r="Y417" s="75"/>
      <c r="Z417" s="78"/>
      <c r="AA417" s="78"/>
      <c r="AB417" s="75"/>
      <c r="AJ417" s="72"/>
    </row>
    <row r="418" spans="1:36" s="69" customFormat="1" x14ac:dyDescent="0.25">
      <c r="A418" s="75"/>
      <c r="B418" s="75"/>
      <c r="C418" s="76"/>
      <c r="D418" s="76"/>
      <c r="E418" s="75"/>
      <c r="F418" s="75"/>
      <c r="G418" s="75"/>
      <c r="H418" s="75"/>
      <c r="I418" s="75"/>
      <c r="J418" s="75"/>
      <c r="K418" s="75"/>
      <c r="L418" s="75"/>
      <c r="M418" s="75"/>
      <c r="N418" s="75"/>
      <c r="O418" s="75"/>
      <c r="P418" s="75"/>
      <c r="Q418" s="75"/>
      <c r="R418" s="75"/>
      <c r="S418" s="75"/>
      <c r="T418" s="75"/>
      <c r="U418" s="75"/>
      <c r="V418" s="77"/>
      <c r="W418" s="75"/>
      <c r="X418" s="75"/>
      <c r="Y418" s="75"/>
      <c r="Z418" s="78"/>
      <c r="AA418" s="78"/>
      <c r="AB418" s="75"/>
      <c r="AJ418" s="72"/>
    </row>
    <row r="419" spans="1:36" s="69" customFormat="1" x14ac:dyDescent="0.25">
      <c r="A419" s="75"/>
      <c r="B419" s="75"/>
      <c r="C419" s="76"/>
      <c r="D419" s="76"/>
      <c r="E419" s="75"/>
      <c r="F419" s="75"/>
      <c r="G419" s="75"/>
      <c r="H419" s="75"/>
      <c r="I419" s="75"/>
      <c r="J419" s="75"/>
      <c r="K419" s="75"/>
      <c r="L419" s="75"/>
      <c r="M419" s="75"/>
      <c r="N419" s="75"/>
      <c r="O419" s="75"/>
      <c r="P419" s="75"/>
      <c r="Q419" s="75"/>
      <c r="R419" s="75"/>
      <c r="S419" s="75"/>
      <c r="T419" s="75"/>
      <c r="U419" s="75"/>
      <c r="V419" s="77"/>
      <c r="W419" s="75"/>
      <c r="X419" s="75"/>
      <c r="Y419" s="75"/>
      <c r="Z419" s="78"/>
      <c r="AA419" s="78"/>
      <c r="AB419" s="75"/>
      <c r="AJ419" s="72"/>
    </row>
    <row r="420" spans="1:36" s="69" customFormat="1" x14ac:dyDescent="0.25">
      <c r="A420" s="75"/>
      <c r="B420" s="75"/>
      <c r="C420" s="76"/>
      <c r="D420" s="76"/>
      <c r="E420" s="75"/>
      <c r="F420" s="75"/>
      <c r="G420" s="75"/>
      <c r="H420" s="75"/>
      <c r="I420" s="75"/>
      <c r="J420" s="75"/>
      <c r="K420" s="75"/>
      <c r="L420" s="75"/>
      <c r="M420" s="75"/>
      <c r="N420" s="75"/>
      <c r="O420" s="75"/>
      <c r="P420" s="75"/>
      <c r="Q420" s="75"/>
      <c r="R420" s="75"/>
      <c r="S420" s="75"/>
      <c r="T420" s="75"/>
      <c r="U420" s="75"/>
      <c r="V420" s="77"/>
      <c r="W420" s="75"/>
      <c r="X420" s="75"/>
      <c r="Y420" s="75"/>
      <c r="Z420" s="78"/>
      <c r="AA420" s="78"/>
      <c r="AB420" s="75"/>
      <c r="AJ420" s="72"/>
    </row>
    <row r="421" spans="1:36" s="69" customFormat="1" x14ac:dyDescent="0.25">
      <c r="A421" s="75"/>
      <c r="B421" s="75"/>
      <c r="C421" s="76"/>
      <c r="D421" s="76"/>
      <c r="E421" s="75"/>
      <c r="F421" s="75"/>
      <c r="G421" s="75"/>
      <c r="H421" s="75"/>
      <c r="I421" s="75"/>
      <c r="J421" s="75"/>
      <c r="K421" s="75"/>
      <c r="L421" s="75"/>
      <c r="M421" s="75"/>
      <c r="N421" s="75"/>
      <c r="O421" s="75"/>
      <c r="P421" s="75"/>
      <c r="Q421" s="75"/>
      <c r="R421" s="75"/>
      <c r="S421" s="75"/>
      <c r="T421" s="75"/>
      <c r="U421" s="75"/>
      <c r="V421" s="77"/>
      <c r="W421" s="75"/>
      <c r="X421" s="75"/>
      <c r="Y421" s="75"/>
      <c r="Z421" s="78"/>
      <c r="AA421" s="78"/>
      <c r="AB421" s="75"/>
      <c r="AJ421" s="72"/>
    </row>
    <row r="422" spans="1:36" s="69" customFormat="1" x14ac:dyDescent="0.25">
      <c r="A422" s="75"/>
      <c r="B422" s="75"/>
      <c r="C422" s="76"/>
      <c r="D422" s="76"/>
      <c r="E422" s="75"/>
      <c r="F422" s="75"/>
      <c r="G422" s="75"/>
      <c r="H422" s="75"/>
      <c r="I422" s="75"/>
      <c r="J422" s="75"/>
      <c r="K422" s="75"/>
      <c r="L422" s="75"/>
      <c r="M422" s="75"/>
      <c r="N422" s="75"/>
      <c r="O422" s="75"/>
      <c r="P422" s="75"/>
      <c r="Q422" s="75"/>
      <c r="R422" s="75"/>
      <c r="S422" s="75"/>
      <c r="T422" s="75"/>
      <c r="U422" s="75"/>
      <c r="V422" s="77"/>
      <c r="W422" s="75"/>
      <c r="X422" s="75"/>
      <c r="Y422" s="75"/>
      <c r="Z422" s="78"/>
      <c r="AA422" s="78"/>
      <c r="AB422" s="75"/>
      <c r="AJ422" s="72"/>
    </row>
    <row r="423" spans="1:36" s="69" customFormat="1" x14ac:dyDescent="0.25">
      <c r="A423" s="75"/>
      <c r="B423" s="75"/>
      <c r="C423" s="76"/>
      <c r="D423" s="76"/>
      <c r="E423" s="75"/>
      <c r="F423" s="75"/>
      <c r="G423" s="75"/>
      <c r="H423" s="75"/>
      <c r="I423" s="75"/>
      <c r="J423" s="75"/>
      <c r="K423" s="75"/>
      <c r="L423" s="75"/>
      <c r="M423" s="75"/>
      <c r="N423" s="75"/>
      <c r="O423" s="75"/>
      <c r="P423" s="75"/>
      <c r="Q423" s="75"/>
      <c r="R423" s="75"/>
      <c r="S423" s="75"/>
      <c r="T423" s="75"/>
      <c r="U423" s="75"/>
      <c r="V423" s="77"/>
      <c r="W423" s="75"/>
      <c r="X423" s="75"/>
      <c r="Y423" s="75"/>
      <c r="Z423" s="78"/>
      <c r="AA423" s="78"/>
      <c r="AB423" s="75"/>
      <c r="AJ423" s="72"/>
    </row>
    <row r="424" spans="1:36" s="69" customFormat="1" x14ac:dyDescent="0.25">
      <c r="A424" s="75"/>
      <c r="B424" s="75"/>
      <c r="C424" s="76"/>
      <c r="D424" s="76"/>
      <c r="E424" s="75"/>
      <c r="F424" s="75"/>
      <c r="G424" s="75"/>
      <c r="H424" s="75"/>
      <c r="I424" s="75"/>
      <c r="J424" s="75"/>
      <c r="K424" s="75"/>
      <c r="L424" s="75"/>
      <c r="M424" s="75"/>
      <c r="N424" s="75"/>
      <c r="O424" s="75"/>
      <c r="P424" s="75"/>
      <c r="Q424" s="75"/>
      <c r="R424" s="75"/>
      <c r="S424" s="75"/>
      <c r="T424" s="75"/>
      <c r="U424" s="75"/>
      <c r="V424" s="77"/>
      <c r="W424" s="75"/>
      <c r="X424" s="75"/>
      <c r="Y424" s="75"/>
      <c r="Z424" s="78"/>
      <c r="AA424" s="78"/>
      <c r="AB424" s="75"/>
      <c r="AJ424" s="72"/>
    </row>
    <row r="425" spans="1:36" s="69" customFormat="1" x14ac:dyDescent="0.25">
      <c r="A425" s="75"/>
      <c r="B425" s="75"/>
      <c r="C425" s="76"/>
      <c r="D425" s="76"/>
      <c r="E425" s="75"/>
      <c r="F425" s="75"/>
      <c r="G425" s="75"/>
      <c r="H425" s="75"/>
      <c r="I425" s="75"/>
      <c r="J425" s="75"/>
      <c r="K425" s="75"/>
      <c r="L425" s="75"/>
      <c r="M425" s="75"/>
      <c r="N425" s="75"/>
      <c r="O425" s="75"/>
      <c r="P425" s="75"/>
      <c r="Q425" s="75"/>
      <c r="R425" s="75"/>
      <c r="S425" s="75"/>
      <c r="T425" s="75"/>
      <c r="U425" s="75"/>
      <c r="V425" s="77"/>
      <c r="W425" s="75"/>
      <c r="X425" s="75"/>
      <c r="Y425" s="75"/>
      <c r="Z425" s="78"/>
      <c r="AA425" s="78"/>
      <c r="AB425" s="75"/>
      <c r="AJ425" s="72"/>
    </row>
    <row r="426" spans="1:36" s="69" customFormat="1" x14ac:dyDescent="0.25">
      <c r="A426" s="75"/>
      <c r="B426" s="75"/>
      <c r="C426" s="76"/>
      <c r="D426" s="76"/>
      <c r="E426" s="75"/>
      <c r="F426" s="75"/>
      <c r="G426" s="75"/>
      <c r="H426" s="75"/>
      <c r="I426" s="75"/>
      <c r="J426" s="75"/>
      <c r="K426" s="75"/>
      <c r="L426" s="75"/>
      <c r="M426" s="75"/>
      <c r="N426" s="75"/>
      <c r="O426" s="75"/>
      <c r="P426" s="75"/>
      <c r="Q426" s="75"/>
      <c r="R426" s="75"/>
      <c r="S426" s="75"/>
      <c r="T426" s="75"/>
      <c r="U426" s="75"/>
      <c r="V426" s="77"/>
      <c r="W426" s="75"/>
      <c r="X426" s="75"/>
      <c r="Y426" s="75"/>
      <c r="Z426" s="78"/>
      <c r="AA426" s="78"/>
      <c r="AB426" s="75"/>
      <c r="AJ426" s="72"/>
    </row>
    <row r="427" spans="1:36" s="69" customFormat="1" x14ac:dyDescent="0.25">
      <c r="A427" s="75"/>
      <c r="B427" s="75"/>
      <c r="C427" s="76"/>
      <c r="D427" s="76"/>
      <c r="E427" s="75"/>
      <c r="F427" s="75"/>
      <c r="G427" s="75"/>
      <c r="H427" s="75"/>
      <c r="I427" s="75"/>
      <c r="J427" s="75"/>
      <c r="K427" s="75"/>
      <c r="L427" s="75"/>
      <c r="M427" s="75"/>
      <c r="N427" s="75"/>
      <c r="O427" s="75"/>
      <c r="P427" s="75"/>
      <c r="Q427" s="75"/>
      <c r="R427" s="75"/>
      <c r="S427" s="75"/>
      <c r="T427" s="75"/>
      <c r="U427" s="75"/>
      <c r="V427" s="77"/>
      <c r="W427" s="75"/>
      <c r="X427" s="75"/>
      <c r="Y427" s="75"/>
      <c r="Z427" s="78"/>
      <c r="AA427" s="78"/>
      <c r="AB427" s="75"/>
      <c r="AJ427" s="72"/>
    </row>
    <row r="428" spans="1:36" s="69" customFormat="1" x14ac:dyDescent="0.25">
      <c r="A428" s="75"/>
      <c r="B428" s="75"/>
      <c r="C428" s="76"/>
      <c r="D428" s="76"/>
      <c r="E428" s="75"/>
      <c r="F428" s="75"/>
      <c r="G428" s="75"/>
      <c r="H428" s="75"/>
      <c r="I428" s="75"/>
      <c r="J428" s="75"/>
      <c r="K428" s="75"/>
      <c r="L428" s="75"/>
      <c r="M428" s="75"/>
      <c r="N428" s="75"/>
      <c r="O428" s="75"/>
      <c r="P428" s="75"/>
      <c r="Q428" s="75"/>
      <c r="R428" s="75"/>
      <c r="S428" s="75"/>
      <c r="T428" s="75"/>
      <c r="U428" s="75"/>
      <c r="V428" s="77"/>
      <c r="W428" s="75"/>
      <c r="X428" s="75"/>
      <c r="Y428" s="75"/>
      <c r="Z428" s="78"/>
      <c r="AA428" s="78"/>
      <c r="AB428" s="75"/>
      <c r="AJ428" s="72"/>
    </row>
    <row r="429" spans="1:36" s="69" customFormat="1" x14ac:dyDescent="0.25">
      <c r="A429" s="75"/>
      <c r="B429" s="75"/>
      <c r="C429" s="76"/>
      <c r="D429" s="76"/>
      <c r="E429" s="75"/>
      <c r="F429" s="75"/>
      <c r="G429" s="75"/>
      <c r="H429" s="75"/>
      <c r="I429" s="75"/>
      <c r="J429" s="75"/>
      <c r="K429" s="75"/>
      <c r="L429" s="75"/>
      <c r="M429" s="75"/>
      <c r="N429" s="75"/>
      <c r="O429" s="75"/>
      <c r="P429" s="75"/>
      <c r="Q429" s="75"/>
      <c r="R429" s="75"/>
      <c r="S429" s="75"/>
      <c r="T429" s="75"/>
      <c r="U429" s="75"/>
      <c r="V429" s="77"/>
      <c r="W429" s="75"/>
      <c r="X429" s="75"/>
      <c r="Y429" s="75"/>
      <c r="Z429" s="78"/>
      <c r="AA429" s="78"/>
      <c r="AB429" s="75"/>
      <c r="AJ429" s="72"/>
    </row>
    <row r="430" spans="1:36" s="69" customFormat="1" x14ac:dyDescent="0.25">
      <c r="A430" s="75"/>
      <c r="B430" s="75"/>
      <c r="C430" s="76"/>
      <c r="D430" s="76"/>
      <c r="E430" s="75"/>
      <c r="F430" s="75"/>
      <c r="G430" s="75"/>
      <c r="H430" s="75"/>
      <c r="I430" s="75"/>
      <c r="J430" s="75"/>
      <c r="K430" s="75"/>
      <c r="L430" s="75"/>
      <c r="M430" s="75"/>
      <c r="N430" s="75"/>
      <c r="O430" s="75"/>
      <c r="P430" s="75"/>
      <c r="Q430" s="75"/>
      <c r="R430" s="75"/>
      <c r="S430" s="75"/>
      <c r="T430" s="75"/>
      <c r="U430" s="75"/>
      <c r="V430" s="77"/>
      <c r="W430" s="75"/>
      <c r="X430" s="75"/>
      <c r="Y430" s="75"/>
      <c r="Z430" s="78"/>
      <c r="AA430" s="78"/>
      <c r="AB430" s="75"/>
      <c r="AJ430" s="72"/>
    </row>
    <row r="431" spans="1:36" s="69" customFormat="1" x14ac:dyDescent="0.25">
      <c r="A431" s="75"/>
      <c r="B431" s="75"/>
      <c r="C431" s="76"/>
      <c r="D431" s="76"/>
      <c r="E431" s="75"/>
      <c r="F431" s="75"/>
      <c r="G431" s="75"/>
      <c r="H431" s="75"/>
      <c r="I431" s="75"/>
      <c r="J431" s="75"/>
      <c r="K431" s="75"/>
      <c r="L431" s="75"/>
      <c r="M431" s="75"/>
      <c r="N431" s="75"/>
      <c r="O431" s="75"/>
      <c r="P431" s="75"/>
      <c r="Q431" s="75"/>
      <c r="R431" s="75"/>
      <c r="S431" s="75"/>
      <c r="T431" s="75"/>
      <c r="U431" s="75"/>
      <c r="V431" s="77"/>
      <c r="W431" s="75"/>
      <c r="X431" s="75"/>
      <c r="Y431" s="75"/>
      <c r="Z431" s="78"/>
      <c r="AA431" s="78"/>
      <c r="AB431" s="75"/>
      <c r="AJ431" s="72"/>
    </row>
    <row r="432" spans="1:36" s="69" customFormat="1" x14ac:dyDescent="0.25">
      <c r="A432" s="75"/>
      <c r="B432" s="75"/>
      <c r="C432" s="76"/>
      <c r="D432" s="76"/>
      <c r="E432" s="75"/>
      <c r="F432" s="75"/>
      <c r="G432" s="75"/>
      <c r="H432" s="75"/>
      <c r="I432" s="75"/>
      <c r="J432" s="75"/>
      <c r="K432" s="75"/>
      <c r="L432" s="75"/>
      <c r="M432" s="75"/>
      <c r="N432" s="75"/>
      <c r="O432" s="75"/>
      <c r="P432" s="75"/>
      <c r="Q432" s="75"/>
      <c r="R432" s="75"/>
      <c r="S432" s="75"/>
      <c r="T432" s="75"/>
      <c r="U432" s="75"/>
      <c r="V432" s="77"/>
      <c r="W432" s="75"/>
      <c r="X432" s="75"/>
      <c r="Y432" s="75"/>
      <c r="Z432" s="78"/>
      <c r="AA432" s="78"/>
      <c r="AB432" s="75"/>
      <c r="AJ432" s="72"/>
    </row>
    <row r="433" spans="1:36" s="69" customFormat="1" x14ac:dyDescent="0.25">
      <c r="A433" s="75"/>
      <c r="B433" s="75"/>
      <c r="C433" s="76"/>
      <c r="D433" s="76"/>
      <c r="E433" s="75"/>
      <c r="F433" s="75"/>
      <c r="G433" s="75"/>
      <c r="H433" s="75"/>
      <c r="I433" s="75"/>
      <c r="J433" s="75"/>
      <c r="K433" s="75"/>
      <c r="L433" s="75"/>
      <c r="M433" s="75"/>
      <c r="N433" s="75"/>
      <c r="O433" s="75"/>
      <c r="P433" s="75"/>
      <c r="Q433" s="75"/>
      <c r="R433" s="75"/>
      <c r="S433" s="75"/>
      <c r="T433" s="75"/>
      <c r="U433" s="75"/>
      <c r="V433" s="77"/>
      <c r="W433" s="75"/>
      <c r="X433" s="75"/>
      <c r="Y433" s="75"/>
      <c r="Z433" s="78"/>
      <c r="AA433" s="78"/>
      <c r="AB433" s="75"/>
      <c r="AJ433" s="72"/>
    </row>
    <row r="434" spans="1:36" s="69" customFormat="1" x14ac:dyDescent="0.25">
      <c r="A434" s="75"/>
      <c r="B434" s="75"/>
      <c r="C434" s="76"/>
      <c r="D434" s="76"/>
      <c r="E434" s="75"/>
      <c r="F434" s="75"/>
      <c r="G434" s="75"/>
      <c r="H434" s="75"/>
      <c r="I434" s="75"/>
      <c r="J434" s="75"/>
      <c r="K434" s="75"/>
      <c r="L434" s="75"/>
      <c r="M434" s="75"/>
      <c r="N434" s="75"/>
      <c r="O434" s="75"/>
      <c r="P434" s="75"/>
      <c r="Q434" s="75"/>
      <c r="R434" s="75"/>
      <c r="S434" s="75"/>
      <c r="T434" s="75"/>
      <c r="U434" s="75"/>
      <c r="V434" s="77"/>
      <c r="W434" s="75"/>
      <c r="X434" s="75"/>
      <c r="Y434" s="75"/>
      <c r="Z434" s="78"/>
      <c r="AA434" s="78"/>
      <c r="AB434" s="75"/>
      <c r="AJ434" s="72"/>
    </row>
    <row r="435" spans="1:36" s="69" customFormat="1" x14ac:dyDescent="0.25">
      <c r="A435" s="75"/>
      <c r="B435" s="75"/>
      <c r="C435" s="76"/>
      <c r="D435" s="76"/>
      <c r="E435" s="75"/>
      <c r="F435" s="75"/>
      <c r="G435" s="75"/>
      <c r="H435" s="75"/>
      <c r="I435" s="75"/>
      <c r="J435" s="75"/>
      <c r="K435" s="75"/>
      <c r="L435" s="75"/>
      <c r="M435" s="75"/>
      <c r="N435" s="75"/>
      <c r="O435" s="75"/>
      <c r="P435" s="75"/>
      <c r="Q435" s="75"/>
      <c r="R435" s="75"/>
      <c r="S435" s="75"/>
      <c r="T435" s="75"/>
      <c r="U435" s="75"/>
      <c r="V435" s="77"/>
      <c r="W435" s="75"/>
      <c r="X435" s="75"/>
      <c r="Y435" s="75"/>
      <c r="Z435" s="78"/>
      <c r="AA435" s="78"/>
      <c r="AB435" s="75"/>
      <c r="AJ435" s="72"/>
    </row>
    <row r="436" spans="1:36" s="69" customFormat="1" x14ac:dyDescent="0.25">
      <c r="A436" s="75"/>
      <c r="B436" s="75"/>
      <c r="C436" s="76"/>
      <c r="D436" s="76"/>
      <c r="E436" s="75"/>
      <c r="F436" s="75"/>
      <c r="G436" s="75"/>
      <c r="H436" s="75"/>
      <c r="I436" s="75"/>
      <c r="J436" s="75"/>
      <c r="K436" s="75"/>
      <c r="L436" s="75"/>
      <c r="M436" s="75"/>
      <c r="N436" s="75"/>
      <c r="O436" s="75"/>
      <c r="P436" s="75"/>
      <c r="Q436" s="75"/>
      <c r="R436" s="75"/>
      <c r="S436" s="75"/>
      <c r="T436" s="75"/>
      <c r="U436" s="75"/>
      <c r="V436" s="77"/>
      <c r="W436" s="75"/>
      <c r="X436" s="75"/>
      <c r="Y436" s="75"/>
      <c r="Z436" s="78"/>
      <c r="AA436" s="78"/>
      <c r="AB436" s="75"/>
      <c r="AJ436" s="72"/>
    </row>
    <row r="437" spans="1:36" s="69" customFormat="1" x14ac:dyDescent="0.25">
      <c r="A437" s="75"/>
      <c r="B437" s="75"/>
      <c r="C437" s="76"/>
      <c r="D437" s="76"/>
      <c r="E437" s="75"/>
      <c r="F437" s="75"/>
      <c r="G437" s="75"/>
      <c r="H437" s="75"/>
      <c r="I437" s="75"/>
      <c r="J437" s="75"/>
      <c r="K437" s="75"/>
      <c r="L437" s="75"/>
      <c r="M437" s="75"/>
      <c r="N437" s="75"/>
      <c r="O437" s="75"/>
      <c r="P437" s="75"/>
      <c r="Q437" s="75"/>
      <c r="R437" s="75"/>
      <c r="S437" s="75"/>
      <c r="T437" s="75"/>
      <c r="U437" s="75"/>
      <c r="V437" s="77"/>
      <c r="W437" s="75"/>
      <c r="X437" s="75"/>
      <c r="Y437" s="75"/>
      <c r="Z437" s="78"/>
      <c r="AA437" s="78"/>
      <c r="AB437" s="75"/>
      <c r="AJ437" s="72"/>
    </row>
    <row r="438" spans="1:36" s="69" customFormat="1" x14ac:dyDescent="0.25">
      <c r="A438" s="75"/>
      <c r="B438" s="75"/>
      <c r="C438" s="76"/>
      <c r="D438" s="76"/>
      <c r="E438" s="75"/>
      <c r="F438" s="75"/>
      <c r="G438" s="75"/>
      <c r="H438" s="75"/>
      <c r="I438" s="75"/>
      <c r="J438" s="75"/>
      <c r="K438" s="75"/>
      <c r="L438" s="75"/>
      <c r="M438" s="75"/>
      <c r="N438" s="75"/>
      <c r="O438" s="75"/>
      <c r="P438" s="75"/>
      <c r="Q438" s="75"/>
      <c r="R438" s="75"/>
      <c r="S438" s="75"/>
      <c r="T438" s="75"/>
      <c r="U438" s="75"/>
      <c r="V438" s="77"/>
      <c r="W438" s="75"/>
      <c r="X438" s="75"/>
      <c r="Y438" s="75"/>
      <c r="Z438" s="78"/>
      <c r="AA438" s="78"/>
      <c r="AB438" s="75"/>
      <c r="AJ438" s="72"/>
    </row>
    <row r="439" spans="1:36" s="69" customFormat="1" x14ac:dyDescent="0.25">
      <c r="A439" s="75"/>
      <c r="B439" s="75"/>
      <c r="C439" s="76"/>
      <c r="D439" s="76"/>
      <c r="E439" s="75"/>
      <c r="F439" s="75"/>
      <c r="G439" s="75"/>
      <c r="H439" s="75"/>
      <c r="I439" s="75"/>
      <c r="J439" s="75"/>
      <c r="K439" s="75"/>
      <c r="L439" s="75"/>
      <c r="M439" s="75"/>
      <c r="N439" s="75"/>
      <c r="O439" s="75"/>
      <c r="P439" s="75"/>
      <c r="Q439" s="75"/>
      <c r="R439" s="75"/>
      <c r="S439" s="75"/>
      <c r="T439" s="75"/>
      <c r="U439" s="75"/>
      <c r="V439" s="77"/>
      <c r="W439" s="75"/>
      <c r="X439" s="75"/>
      <c r="Y439" s="75"/>
      <c r="Z439" s="78"/>
      <c r="AA439" s="78"/>
      <c r="AB439" s="75"/>
      <c r="AJ439" s="72"/>
    </row>
    <row r="440" spans="1:36" s="69" customFormat="1" x14ac:dyDescent="0.25">
      <c r="A440" s="75"/>
      <c r="B440" s="75"/>
      <c r="C440" s="76"/>
      <c r="D440" s="76"/>
      <c r="E440" s="75"/>
      <c r="F440" s="75"/>
      <c r="G440" s="75"/>
      <c r="H440" s="75"/>
      <c r="I440" s="75"/>
      <c r="J440" s="75"/>
      <c r="K440" s="75"/>
      <c r="L440" s="75"/>
      <c r="M440" s="75"/>
      <c r="N440" s="75"/>
      <c r="O440" s="75"/>
      <c r="P440" s="75"/>
      <c r="Q440" s="75"/>
      <c r="R440" s="75"/>
      <c r="S440" s="75"/>
      <c r="T440" s="75"/>
      <c r="U440" s="75"/>
      <c r="V440" s="77"/>
      <c r="W440" s="75"/>
      <c r="X440" s="75"/>
      <c r="Y440" s="75"/>
      <c r="Z440" s="78"/>
      <c r="AA440" s="78"/>
      <c r="AB440" s="75"/>
      <c r="AJ440" s="72"/>
    </row>
    <row r="441" spans="1:36" s="69" customFormat="1" x14ac:dyDescent="0.25">
      <c r="A441" s="75"/>
      <c r="B441" s="75"/>
      <c r="C441" s="76"/>
      <c r="D441" s="76"/>
      <c r="E441" s="75"/>
      <c r="F441" s="75"/>
      <c r="G441" s="75"/>
      <c r="H441" s="75"/>
      <c r="I441" s="75"/>
      <c r="J441" s="75"/>
      <c r="K441" s="75"/>
      <c r="L441" s="75"/>
      <c r="M441" s="75"/>
      <c r="N441" s="75"/>
      <c r="O441" s="75"/>
      <c r="P441" s="75"/>
      <c r="Q441" s="75"/>
      <c r="R441" s="75"/>
      <c r="S441" s="75"/>
      <c r="T441" s="75"/>
      <c r="U441" s="75"/>
      <c r="V441" s="77"/>
      <c r="W441" s="75"/>
      <c r="X441" s="75"/>
      <c r="Y441" s="75"/>
      <c r="Z441" s="78"/>
      <c r="AA441" s="78"/>
      <c r="AB441" s="75"/>
      <c r="AJ441" s="72"/>
    </row>
    <row r="442" spans="1:36" s="69" customFormat="1" x14ac:dyDescent="0.25">
      <c r="A442" s="75"/>
      <c r="B442" s="75"/>
      <c r="C442" s="76"/>
      <c r="D442" s="76"/>
      <c r="E442" s="75"/>
      <c r="F442" s="75"/>
      <c r="G442" s="75"/>
      <c r="H442" s="75"/>
      <c r="I442" s="75"/>
      <c r="J442" s="75"/>
      <c r="K442" s="75"/>
      <c r="L442" s="75"/>
      <c r="M442" s="75"/>
      <c r="N442" s="75"/>
      <c r="O442" s="75"/>
      <c r="P442" s="75"/>
      <c r="Q442" s="75"/>
      <c r="R442" s="75"/>
      <c r="S442" s="75"/>
      <c r="T442" s="75"/>
      <c r="U442" s="75"/>
      <c r="V442" s="77"/>
      <c r="W442" s="75"/>
      <c r="X442" s="75"/>
      <c r="Y442" s="75"/>
      <c r="Z442" s="78"/>
      <c r="AA442" s="78"/>
      <c r="AB442" s="75"/>
      <c r="AJ442" s="72"/>
    </row>
    <row r="443" spans="1:36" s="69" customFormat="1" x14ac:dyDescent="0.25">
      <c r="A443" s="75"/>
      <c r="B443" s="75"/>
      <c r="C443" s="76"/>
      <c r="D443" s="76"/>
      <c r="E443" s="75"/>
      <c r="F443" s="75"/>
      <c r="G443" s="75"/>
      <c r="H443" s="75"/>
      <c r="I443" s="75"/>
      <c r="J443" s="75"/>
      <c r="K443" s="75"/>
      <c r="L443" s="75"/>
      <c r="M443" s="75"/>
      <c r="N443" s="75"/>
      <c r="O443" s="75"/>
      <c r="P443" s="75"/>
      <c r="Q443" s="75"/>
      <c r="R443" s="75"/>
      <c r="S443" s="75"/>
      <c r="T443" s="75"/>
      <c r="U443" s="75"/>
      <c r="V443" s="77"/>
      <c r="W443" s="75"/>
      <c r="X443" s="75"/>
      <c r="Y443" s="75"/>
      <c r="Z443" s="78"/>
      <c r="AA443" s="78"/>
      <c r="AB443" s="75"/>
      <c r="AJ443" s="72"/>
    </row>
    <row r="444" spans="1:36" s="69" customFormat="1" x14ac:dyDescent="0.25">
      <c r="A444" s="75"/>
      <c r="B444" s="75"/>
      <c r="C444" s="76"/>
      <c r="D444" s="76"/>
      <c r="E444" s="75"/>
      <c r="F444" s="75"/>
      <c r="G444" s="75"/>
      <c r="H444" s="75"/>
      <c r="I444" s="75"/>
      <c r="J444" s="75"/>
      <c r="K444" s="75"/>
      <c r="L444" s="75"/>
      <c r="M444" s="75"/>
      <c r="N444" s="75"/>
      <c r="O444" s="75"/>
      <c r="P444" s="75"/>
      <c r="Q444" s="75"/>
      <c r="R444" s="75"/>
      <c r="S444" s="75"/>
      <c r="T444" s="75"/>
      <c r="U444" s="75"/>
      <c r="V444" s="77"/>
      <c r="W444" s="75"/>
      <c r="X444" s="75"/>
      <c r="Y444" s="75"/>
      <c r="Z444" s="78"/>
      <c r="AA444" s="78"/>
      <c r="AB444" s="75"/>
      <c r="AJ444" s="72"/>
    </row>
    <row r="445" spans="1:36" s="69" customFormat="1" x14ac:dyDescent="0.25">
      <c r="A445" s="75"/>
      <c r="B445" s="75"/>
      <c r="C445" s="76"/>
      <c r="D445" s="76"/>
      <c r="E445" s="75"/>
      <c r="F445" s="75"/>
      <c r="G445" s="75"/>
      <c r="H445" s="75"/>
      <c r="I445" s="75"/>
      <c r="J445" s="75"/>
      <c r="K445" s="75"/>
      <c r="L445" s="75"/>
      <c r="M445" s="75"/>
      <c r="N445" s="75"/>
      <c r="O445" s="75"/>
      <c r="P445" s="75"/>
      <c r="Q445" s="75"/>
      <c r="R445" s="75"/>
      <c r="S445" s="75"/>
      <c r="T445" s="75"/>
      <c r="U445" s="75"/>
      <c r="V445" s="77"/>
      <c r="W445" s="75"/>
      <c r="X445" s="75"/>
      <c r="Y445" s="75"/>
      <c r="Z445" s="78"/>
      <c r="AA445" s="78"/>
      <c r="AB445" s="75"/>
      <c r="AJ445" s="72"/>
    </row>
    <row r="446" spans="1:36" s="69" customFormat="1" x14ac:dyDescent="0.25">
      <c r="A446" s="75"/>
      <c r="B446" s="75"/>
      <c r="C446" s="76"/>
      <c r="D446" s="76"/>
      <c r="E446" s="75"/>
      <c r="F446" s="75"/>
      <c r="G446" s="75"/>
      <c r="H446" s="75"/>
      <c r="I446" s="75"/>
      <c r="J446" s="75"/>
      <c r="K446" s="75"/>
      <c r="L446" s="75"/>
      <c r="M446" s="75"/>
      <c r="N446" s="75"/>
      <c r="O446" s="75"/>
      <c r="P446" s="75"/>
      <c r="Q446" s="75"/>
      <c r="R446" s="75"/>
      <c r="S446" s="75"/>
      <c r="T446" s="75"/>
      <c r="U446" s="75"/>
      <c r="V446" s="77"/>
      <c r="W446" s="75"/>
      <c r="X446" s="75"/>
      <c r="Y446" s="75"/>
      <c r="Z446" s="78"/>
      <c r="AA446" s="78"/>
      <c r="AB446" s="75"/>
      <c r="AJ446" s="72"/>
    </row>
    <row r="447" spans="1:36" s="69" customFormat="1" x14ac:dyDescent="0.25">
      <c r="A447" s="75"/>
      <c r="B447" s="75"/>
      <c r="C447" s="76"/>
      <c r="D447" s="76"/>
      <c r="E447" s="75"/>
      <c r="F447" s="75"/>
      <c r="G447" s="75"/>
      <c r="H447" s="75"/>
      <c r="I447" s="75"/>
      <c r="J447" s="75"/>
      <c r="K447" s="75"/>
      <c r="L447" s="75"/>
      <c r="M447" s="75"/>
      <c r="N447" s="75"/>
      <c r="O447" s="75"/>
      <c r="P447" s="75"/>
      <c r="Q447" s="75"/>
      <c r="R447" s="75"/>
      <c r="S447" s="75"/>
      <c r="T447" s="75"/>
      <c r="U447" s="75"/>
      <c r="V447" s="77"/>
      <c r="W447" s="75"/>
      <c r="X447" s="75"/>
      <c r="Y447" s="75"/>
      <c r="Z447" s="78"/>
      <c r="AA447" s="78"/>
      <c r="AB447" s="75"/>
      <c r="AJ447" s="72"/>
    </row>
    <row r="448" spans="1:36" s="69" customFormat="1" x14ac:dyDescent="0.25">
      <c r="A448" s="75"/>
      <c r="B448" s="75"/>
      <c r="C448" s="76"/>
      <c r="D448" s="76"/>
      <c r="E448" s="75"/>
      <c r="F448" s="75"/>
      <c r="G448" s="75"/>
      <c r="H448" s="75"/>
      <c r="I448" s="75"/>
      <c r="J448" s="75"/>
      <c r="K448" s="75"/>
      <c r="L448" s="75"/>
      <c r="M448" s="75"/>
      <c r="N448" s="75"/>
      <c r="O448" s="75"/>
      <c r="P448" s="75"/>
      <c r="Q448" s="75"/>
      <c r="R448" s="75"/>
      <c r="S448" s="75"/>
      <c r="T448" s="75"/>
      <c r="U448" s="75"/>
      <c r="V448" s="77"/>
      <c r="W448" s="75"/>
      <c r="X448" s="75"/>
      <c r="Y448" s="75"/>
      <c r="Z448" s="78"/>
      <c r="AA448" s="78"/>
      <c r="AB448" s="75"/>
      <c r="AJ448" s="72"/>
    </row>
    <row r="449" spans="1:36" s="69" customFormat="1" x14ac:dyDescent="0.25">
      <c r="A449" s="75"/>
      <c r="B449" s="75"/>
      <c r="C449" s="76"/>
      <c r="D449" s="76"/>
      <c r="E449" s="75"/>
      <c r="F449" s="75"/>
      <c r="G449" s="75"/>
      <c r="H449" s="75"/>
      <c r="I449" s="75"/>
      <c r="J449" s="75"/>
      <c r="K449" s="75"/>
      <c r="L449" s="75"/>
      <c r="M449" s="75"/>
      <c r="N449" s="75"/>
      <c r="O449" s="75"/>
      <c r="P449" s="75"/>
      <c r="Q449" s="75"/>
      <c r="R449" s="75"/>
      <c r="S449" s="75"/>
      <c r="T449" s="75"/>
      <c r="U449" s="75"/>
      <c r="V449" s="77"/>
      <c r="W449" s="75"/>
      <c r="X449" s="75"/>
      <c r="Y449" s="75"/>
      <c r="Z449" s="78"/>
      <c r="AA449" s="78"/>
      <c r="AB449" s="75"/>
      <c r="AJ449" s="72"/>
    </row>
    <row r="450" spans="1:36" s="69" customFormat="1" x14ac:dyDescent="0.25">
      <c r="A450" s="75"/>
      <c r="B450" s="75"/>
      <c r="C450" s="76"/>
      <c r="D450" s="76"/>
      <c r="E450" s="75"/>
      <c r="F450" s="75"/>
      <c r="G450" s="75"/>
      <c r="H450" s="75"/>
      <c r="I450" s="75"/>
      <c r="J450" s="75"/>
      <c r="K450" s="75"/>
      <c r="L450" s="75"/>
      <c r="M450" s="75"/>
      <c r="N450" s="75"/>
      <c r="O450" s="75"/>
      <c r="P450" s="75"/>
      <c r="Q450" s="75"/>
      <c r="R450" s="75"/>
      <c r="S450" s="75"/>
      <c r="T450" s="75"/>
      <c r="U450" s="75"/>
      <c r="V450" s="77"/>
      <c r="W450" s="75"/>
      <c r="X450" s="75"/>
      <c r="Y450" s="75"/>
      <c r="Z450" s="78"/>
      <c r="AA450" s="78"/>
      <c r="AB450" s="75"/>
      <c r="AJ450" s="72"/>
    </row>
    <row r="451" spans="1:36" s="69" customFormat="1" x14ac:dyDescent="0.25">
      <c r="A451" s="75"/>
      <c r="B451" s="75"/>
      <c r="C451" s="76"/>
      <c r="D451" s="76"/>
      <c r="E451" s="75"/>
      <c r="F451" s="75"/>
      <c r="G451" s="75"/>
      <c r="H451" s="75"/>
      <c r="I451" s="75"/>
      <c r="J451" s="75"/>
      <c r="K451" s="75"/>
      <c r="L451" s="75"/>
      <c r="M451" s="75"/>
      <c r="N451" s="75"/>
      <c r="O451" s="75"/>
      <c r="P451" s="75"/>
      <c r="Q451" s="75"/>
      <c r="R451" s="75"/>
      <c r="S451" s="75"/>
      <c r="T451" s="75"/>
      <c r="U451" s="75"/>
      <c r="V451" s="77"/>
      <c r="W451" s="75"/>
      <c r="X451" s="75"/>
      <c r="Y451" s="75"/>
      <c r="Z451" s="78"/>
      <c r="AA451" s="78"/>
      <c r="AB451" s="75"/>
      <c r="AJ451" s="72"/>
    </row>
    <row r="452" spans="1:36" s="69" customFormat="1" x14ac:dyDescent="0.25">
      <c r="A452" s="75"/>
      <c r="B452" s="75"/>
      <c r="C452" s="76"/>
      <c r="D452" s="76"/>
      <c r="E452" s="75"/>
      <c r="F452" s="75"/>
      <c r="G452" s="75"/>
      <c r="H452" s="75"/>
      <c r="I452" s="75"/>
      <c r="J452" s="75"/>
      <c r="K452" s="75"/>
      <c r="L452" s="75"/>
      <c r="M452" s="75"/>
      <c r="N452" s="75"/>
      <c r="O452" s="75"/>
      <c r="P452" s="75"/>
      <c r="Q452" s="75"/>
      <c r="R452" s="75"/>
      <c r="S452" s="75"/>
      <c r="T452" s="75"/>
      <c r="U452" s="75"/>
      <c r="V452" s="77"/>
      <c r="W452" s="75"/>
      <c r="X452" s="75"/>
      <c r="Y452" s="75"/>
      <c r="Z452" s="78"/>
      <c r="AA452" s="78"/>
      <c r="AB452" s="75"/>
      <c r="AJ452" s="72"/>
    </row>
    <row r="453" spans="1:36" s="69" customFormat="1" x14ac:dyDescent="0.25">
      <c r="A453" s="75"/>
      <c r="B453" s="75"/>
      <c r="C453" s="76"/>
      <c r="D453" s="76"/>
      <c r="E453" s="75"/>
      <c r="F453" s="75"/>
      <c r="G453" s="75"/>
      <c r="H453" s="75"/>
      <c r="I453" s="75"/>
      <c r="J453" s="75"/>
      <c r="K453" s="75"/>
      <c r="L453" s="75"/>
      <c r="M453" s="75"/>
      <c r="N453" s="75"/>
      <c r="O453" s="75"/>
      <c r="P453" s="75"/>
      <c r="Q453" s="75"/>
      <c r="R453" s="75"/>
      <c r="S453" s="75"/>
      <c r="T453" s="75"/>
      <c r="U453" s="75"/>
      <c r="V453" s="77"/>
      <c r="W453" s="75"/>
      <c r="X453" s="75"/>
      <c r="Y453" s="75"/>
      <c r="Z453" s="78"/>
      <c r="AA453" s="78"/>
      <c r="AB453" s="75"/>
      <c r="AJ453" s="72"/>
    </row>
    <row r="454" spans="1:36" s="69" customFormat="1" x14ac:dyDescent="0.25">
      <c r="A454" s="75"/>
      <c r="B454" s="75"/>
      <c r="C454" s="76"/>
      <c r="D454" s="76"/>
      <c r="E454" s="75"/>
      <c r="F454" s="75"/>
      <c r="G454" s="75"/>
      <c r="H454" s="75"/>
      <c r="I454" s="75"/>
      <c r="J454" s="75"/>
      <c r="K454" s="75"/>
      <c r="L454" s="75"/>
      <c r="M454" s="75"/>
      <c r="N454" s="75"/>
      <c r="O454" s="75"/>
      <c r="P454" s="75"/>
      <c r="Q454" s="75"/>
      <c r="R454" s="75"/>
      <c r="S454" s="75"/>
      <c r="T454" s="75"/>
      <c r="U454" s="75"/>
      <c r="V454" s="77"/>
      <c r="W454" s="75"/>
      <c r="X454" s="75"/>
      <c r="Y454" s="75"/>
      <c r="Z454" s="78"/>
      <c r="AA454" s="78"/>
      <c r="AB454" s="75"/>
      <c r="AJ454" s="72"/>
    </row>
    <row r="455" spans="1:36" s="69" customFormat="1" x14ac:dyDescent="0.25">
      <c r="A455" s="75"/>
      <c r="B455" s="75"/>
      <c r="C455" s="76"/>
      <c r="D455" s="76"/>
      <c r="E455" s="75"/>
      <c r="F455" s="75"/>
      <c r="G455" s="75"/>
      <c r="H455" s="75"/>
      <c r="I455" s="75"/>
      <c r="J455" s="75"/>
      <c r="K455" s="75"/>
      <c r="L455" s="75"/>
      <c r="M455" s="75"/>
      <c r="N455" s="75"/>
      <c r="O455" s="75"/>
      <c r="P455" s="75"/>
      <c r="Q455" s="75"/>
      <c r="R455" s="75"/>
      <c r="S455" s="75"/>
      <c r="T455" s="75"/>
      <c r="U455" s="75"/>
      <c r="V455" s="77"/>
      <c r="W455" s="75"/>
      <c r="X455" s="75"/>
      <c r="Y455" s="75"/>
      <c r="Z455" s="78"/>
      <c r="AA455" s="78"/>
      <c r="AB455" s="75"/>
      <c r="AJ455" s="72"/>
    </row>
    <row r="456" spans="1:36" s="69" customFormat="1" x14ac:dyDescent="0.25">
      <c r="A456" s="75"/>
      <c r="B456" s="75"/>
      <c r="C456" s="76"/>
      <c r="D456" s="76"/>
      <c r="E456" s="75"/>
      <c r="F456" s="75"/>
      <c r="G456" s="75"/>
      <c r="H456" s="75"/>
      <c r="I456" s="75"/>
      <c r="J456" s="75"/>
      <c r="K456" s="75"/>
      <c r="L456" s="75"/>
      <c r="M456" s="75"/>
      <c r="N456" s="75"/>
      <c r="O456" s="75"/>
      <c r="P456" s="75"/>
      <c r="Q456" s="75"/>
      <c r="R456" s="75"/>
      <c r="S456" s="75"/>
      <c r="T456" s="75"/>
      <c r="U456" s="75"/>
      <c r="V456" s="77"/>
      <c r="W456" s="75"/>
      <c r="X456" s="75"/>
      <c r="Y456" s="75"/>
      <c r="Z456" s="78"/>
      <c r="AA456" s="78"/>
      <c r="AB456" s="75"/>
      <c r="AJ456" s="72"/>
    </row>
    <row r="457" spans="1:36" s="69" customFormat="1" x14ac:dyDescent="0.25">
      <c r="A457" s="75"/>
      <c r="B457" s="75"/>
      <c r="C457" s="76"/>
      <c r="D457" s="76"/>
      <c r="E457" s="75"/>
      <c r="F457" s="75"/>
      <c r="G457" s="75"/>
      <c r="H457" s="75"/>
      <c r="I457" s="75"/>
      <c r="J457" s="75"/>
      <c r="K457" s="75"/>
      <c r="L457" s="75"/>
      <c r="M457" s="75"/>
      <c r="N457" s="75"/>
      <c r="O457" s="75"/>
      <c r="P457" s="75"/>
      <c r="Q457" s="75"/>
      <c r="R457" s="75"/>
      <c r="S457" s="75"/>
      <c r="T457" s="75"/>
      <c r="U457" s="75"/>
      <c r="V457" s="77"/>
      <c r="W457" s="75"/>
      <c r="X457" s="75"/>
      <c r="Y457" s="75"/>
      <c r="Z457" s="78"/>
      <c r="AA457" s="78"/>
      <c r="AB457" s="75"/>
      <c r="AJ457" s="72"/>
    </row>
    <row r="458" spans="1:36" s="69" customFormat="1" x14ac:dyDescent="0.25">
      <c r="A458" s="75"/>
      <c r="B458" s="75"/>
      <c r="C458" s="76"/>
      <c r="D458" s="76"/>
      <c r="E458" s="75"/>
      <c r="F458" s="75"/>
      <c r="G458" s="75"/>
      <c r="H458" s="75"/>
      <c r="I458" s="75"/>
      <c r="J458" s="75"/>
      <c r="K458" s="75"/>
      <c r="L458" s="75"/>
      <c r="M458" s="75"/>
      <c r="N458" s="75"/>
      <c r="O458" s="75"/>
      <c r="P458" s="75"/>
      <c r="Q458" s="75"/>
      <c r="R458" s="75"/>
      <c r="S458" s="75"/>
      <c r="T458" s="75"/>
      <c r="U458" s="75"/>
      <c r="V458" s="77"/>
      <c r="W458" s="75"/>
      <c r="X458" s="75"/>
      <c r="Y458" s="75"/>
      <c r="Z458" s="78"/>
      <c r="AA458" s="78"/>
      <c r="AB458" s="75"/>
      <c r="AJ458" s="72"/>
    </row>
    <row r="459" spans="1:36" s="69" customFormat="1" x14ac:dyDescent="0.25">
      <c r="A459" s="75"/>
      <c r="B459" s="75"/>
      <c r="C459" s="76"/>
      <c r="D459" s="76"/>
      <c r="E459" s="75"/>
      <c r="F459" s="75"/>
      <c r="G459" s="75"/>
      <c r="H459" s="75"/>
      <c r="I459" s="75"/>
      <c r="J459" s="75"/>
      <c r="K459" s="75"/>
      <c r="L459" s="75"/>
      <c r="M459" s="75"/>
      <c r="N459" s="75"/>
      <c r="O459" s="75"/>
      <c r="P459" s="75"/>
      <c r="Q459" s="75"/>
      <c r="R459" s="75"/>
      <c r="S459" s="75"/>
      <c r="T459" s="75"/>
      <c r="U459" s="75"/>
      <c r="V459" s="77"/>
      <c r="W459" s="75"/>
      <c r="X459" s="75"/>
      <c r="Y459" s="75"/>
      <c r="Z459" s="78"/>
      <c r="AA459" s="78"/>
      <c r="AB459" s="75"/>
      <c r="AJ459" s="72"/>
    </row>
    <row r="460" spans="1:36" s="69" customFormat="1" x14ac:dyDescent="0.25">
      <c r="A460" s="75"/>
      <c r="B460" s="75"/>
      <c r="C460" s="76"/>
      <c r="D460" s="76"/>
      <c r="E460" s="75"/>
      <c r="F460" s="75"/>
      <c r="G460" s="75"/>
      <c r="H460" s="75"/>
      <c r="I460" s="75"/>
      <c r="J460" s="75"/>
      <c r="K460" s="75"/>
      <c r="L460" s="75"/>
      <c r="M460" s="75"/>
      <c r="N460" s="75"/>
      <c r="O460" s="75"/>
      <c r="P460" s="75"/>
      <c r="Q460" s="75"/>
      <c r="R460" s="75"/>
      <c r="S460" s="75"/>
      <c r="T460" s="75"/>
      <c r="U460" s="75"/>
      <c r="V460" s="77"/>
      <c r="W460" s="75"/>
      <c r="X460" s="75"/>
      <c r="Y460" s="75"/>
      <c r="Z460" s="78"/>
      <c r="AA460" s="78"/>
      <c r="AB460" s="75"/>
      <c r="AJ460" s="72"/>
    </row>
    <row r="461" spans="1:36" s="69" customFormat="1" x14ac:dyDescent="0.25">
      <c r="A461" s="75"/>
      <c r="B461" s="75"/>
      <c r="C461" s="76"/>
      <c r="D461" s="76"/>
      <c r="E461" s="75"/>
      <c r="F461" s="75"/>
      <c r="G461" s="75"/>
      <c r="H461" s="75"/>
      <c r="I461" s="75"/>
      <c r="J461" s="75"/>
      <c r="K461" s="75"/>
      <c r="L461" s="75"/>
      <c r="M461" s="75"/>
      <c r="N461" s="75"/>
      <c r="O461" s="75"/>
      <c r="P461" s="75"/>
      <c r="Q461" s="75"/>
      <c r="R461" s="75"/>
      <c r="S461" s="75"/>
      <c r="T461" s="75"/>
      <c r="U461" s="75"/>
      <c r="V461" s="77"/>
      <c r="W461" s="75"/>
      <c r="X461" s="75"/>
      <c r="Y461" s="75"/>
      <c r="Z461" s="78"/>
      <c r="AA461" s="78"/>
      <c r="AB461" s="75"/>
      <c r="AJ461" s="72"/>
    </row>
    <row r="462" spans="1:36" s="69" customFormat="1" x14ac:dyDescent="0.25">
      <c r="A462" s="75"/>
      <c r="B462" s="75"/>
      <c r="C462" s="76"/>
      <c r="D462" s="76"/>
      <c r="E462" s="75"/>
      <c r="F462" s="75"/>
      <c r="G462" s="75"/>
      <c r="H462" s="75"/>
      <c r="I462" s="75"/>
      <c r="J462" s="75"/>
      <c r="K462" s="75"/>
      <c r="L462" s="75"/>
      <c r="M462" s="75"/>
      <c r="N462" s="75"/>
      <c r="O462" s="75"/>
      <c r="P462" s="75"/>
      <c r="Q462" s="75"/>
      <c r="R462" s="75"/>
      <c r="S462" s="75"/>
      <c r="T462" s="75"/>
      <c r="U462" s="75"/>
      <c r="V462" s="77"/>
      <c r="W462" s="75"/>
      <c r="X462" s="75"/>
      <c r="Y462" s="75"/>
      <c r="Z462" s="78"/>
      <c r="AA462" s="78"/>
      <c r="AB462" s="75"/>
      <c r="AJ462" s="72"/>
    </row>
    <row r="463" spans="1:36" s="69" customFormat="1" x14ac:dyDescent="0.25">
      <c r="A463" s="75"/>
      <c r="B463" s="75"/>
      <c r="C463" s="76"/>
      <c r="D463" s="76"/>
      <c r="E463" s="75"/>
      <c r="F463" s="75"/>
      <c r="G463" s="75"/>
      <c r="H463" s="75"/>
      <c r="I463" s="75"/>
      <c r="J463" s="75"/>
      <c r="K463" s="75"/>
      <c r="L463" s="75"/>
      <c r="M463" s="75"/>
      <c r="N463" s="75"/>
      <c r="O463" s="75"/>
      <c r="P463" s="75"/>
      <c r="Q463" s="75"/>
      <c r="R463" s="75"/>
      <c r="S463" s="75"/>
      <c r="T463" s="75"/>
      <c r="U463" s="75"/>
      <c r="V463" s="77"/>
      <c r="W463" s="75"/>
      <c r="X463" s="75"/>
      <c r="Y463" s="75"/>
      <c r="Z463" s="78"/>
      <c r="AA463" s="78"/>
      <c r="AB463" s="75"/>
      <c r="AJ463" s="72"/>
    </row>
    <row r="464" spans="1:36" s="69" customFormat="1" x14ac:dyDescent="0.25">
      <c r="A464" s="75"/>
      <c r="B464" s="75"/>
      <c r="C464" s="76"/>
      <c r="D464" s="76"/>
      <c r="E464" s="75"/>
      <c r="F464" s="75"/>
      <c r="G464" s="75"/>
      <c r="H464" s="75"/>
      <c r="I464" s="75"/>
      <c r="J464" s="75"/>
      <c r="K464" s="75"/>
      <c r="L464" s="75"/>
      <c r="M464" s="75"/>
      <c r="N464" s="75"/>
      <c r="O464" s="75"/>
      <c r="P464" s="75"/>
      <c r="Q464" s="75"/>
      <c r="R464" s="75"/>
      <c r="S464" s="75"/>
      <c r="T464" s="75"/>
      <c r="U464" s="75"/>
      <c r="V464" s="77"/>
      <c r="W464" s="75"/>
      <c r="X464" s="75"/>
      <c r="Y464" s="75"/>
      <c r="Z464" s="78"/>
      <c r="AA464" s="78"/>
      <c r="AB464" s="75"/>
      <c r="AJ464" s="72"/>
    </row>
    <row r="465" spans="1:36" s="69" customFormat="1" x14ac:dyDescent="0.25">
      <c r="A465" s="75"/>
      <c r="B465" s="75"/>
      <c r="C465" s="76"/>
      <c r="D465" s="76"/>
      <c r="E465" s="75"/>
      <c r="F465" s="75"/>
      <c r="G465" s="75"/>
      <c r="H465" s="75"/>
      <c r="I465" s="75"/>
      <c r="J465" s="75"/>
      <c r="K465" s="75"/>
      <c r="L465" s="75"/>
      <c r="M465" s="75"/>
      <c r="N465" s="75"/>
      <c r="O465" s="75"/>
      <c r="P465" s="75"/>
      <c r="Q465" s="75"/>
      <c r="R465" s="75"/>
      <c r="S465" s="75"/>
      <c r="T465" s="75"/>
      <c r="U465" s="75"/>
      <c r="V465" s="77"/>
      <c r="W465" s="75"/>
      <c r="X465" s="75"/>
      <c r="Y465" s="75"/>
      <c r="Z465" s="78"/>
      <c r="AA465" s="78"/>
      <c r="AB465" s="75"/>
      <c r="AJ465" s="72"/>
    </row>
    <row r="466" spans="1:36" s="69" customFormat="1" x14ac:dyDescent="0.25">
      <c r="A466" s="75"/>
      <c r="B466" s="75"/>
      <c r="C466" s="76"/>
      <c r="D466" s="76"/>
      <c r="E466" s="75"/>
      <c r="F466" s="75"/>
      <c r="G466" s="75"/>
      <c r="H466" s="75"/>
      <c r="I466" s="75"/>
      <c r="J466" s="75"/>
      <c r="K466" s="75"/>
      <c r="L466" s="75"/>
      <c r="M466" s="75"/>
      <c r="N466" s="75"/>
      <c r="O466" s="75"/>
      <c r="P466" s="75"/>
      <c r="Q466" s="75"/>
      <c r="R466" s="75"/>
      <c r="S466" s="75"/>
      <c r="T466" s="75"/>
      <c r="U466" s="75"/>
      <c r="V466" s="77"/>
      <c r="W466" s="75"/>
      <c r="X466" s="75"/>
      <c r="Y466" s="75"/>
      <c r="Z466" s="78"/>
      <c r="AA466" s="78"/>
      <c r="AB466" s="75"/>
      <c r="AJ466" s="72"/>
    </row>
    <row r="467" spans="1:36" s="69" customFormat="1" x14ac:dyDescent="0.25">
      <c r="A467" s="75"/>
      <c r="B467" s="75"/>
      <c r="C467" s="76"/>
      <c r="D467" s="76"/>
      <c r="E467" s="75"/>
      <c r="F467" s="75"/>
      <c r="G467" s="75"/>
      <c r="H467" s="75"/>
      <c r="I467" s="75"/>
      <c r="J467" s="75"/>
      <c r="K467" s="75"/>
      <c r="L467" s="75"/>
      <c r="M467" s="75"/>
      <c r="N467" s="75"/>
      <c r="O467" s="75"/>
      <c r="P467" s="75"/>
      <c r="Q467" s="75"/>
      <c r="R467" s="75"/>
      <c r="S467" s="75"/>
      <c r="T467" s="75"/>
      <c r="U467" s="75"/>
      <c r="V467" s="77"/>
      <c r="W467" s="75"/>
      <c r="X467" s="75"/>
      <c r="Y467" s="75"/>
      <c r="Z467" s="78"/>
      <c r="AA467" s="78"/>
      <c r="AB467" s="75"/>
      <c r="AJ467" s="72"/>
    </row>
    <row r="468" spans="1:36" s="69" customFormat="1" x14ac:dyDescent="0.25">
      <c r="A468" s="75"/>
      <c r="B468" s="75"/>
      <c r="C468" s="76"/>
      <c r="D468" s="76"/>
      <c r="E468" s="75"/>
      <c r="F468" s="75"/>
      <c r="G468" s="75"/>
      <c r="H468" s="75"/>
      <c r="I468" s="75"/>
      <c r="J468" s="75"/>
      <c r="K468" s="75"/>
      <c r="L468" s="75"/>
      <c r="M468" s="75"/>
      <c r="N468" s="75"/>
      <c r="O468" s="75"/>
      <c r="P468" s="75"/>
      <c r="Q468" s="75"/>
      <c r="R468" s="75"/>
      <c r="S468" s="75"/>
      <c r="T468" s="75"/>
      <c r="U468" s="75"/>
      <c r="V468" s="77"/>
      <c r="W468" s="75"/>
      <c r="X468" s="75"/>
      <c r="Y468" s="75"/>
      <c r="Z468" s="78"/>
      <c r="AA468" s="78"/>
      <c r="AB468" s="75"/>
      <c r="AJ468" s="72"/>
    </row>
    <row r="469" spans="1:36" s="69" customFormat="1" x14ac:dyDescent="0.25">
      <c r="A469" s="75"/>
      <c r="B469" s="75"/>
      <c r="C469" s="76"/>
      <c r="D469" s="76"/>
      <c r="E469" s="75"/>
      <c r="F469" s="75"/>
      <c r="G469" s="75"/>
      <c r="H469" s="75"/>
      <c r="I469" s="75"/>
      <c r="J469" s="75"/>
      <c r="K469" s="75"/>
      <c r="L469" s="75"/>
      <c r="M469" s="75"/>
      <c r="N469" s="75"/>
      <c r="O469" s="75"/>
      <c r="P469" s="75"/>
      <c r="Q469" s="75"/>
      <c r="R469" s="75"/>
      <c r="S469" s="75"/>
      <c r="T469" s="75"/>
      <c r="U469" s="75"/>
      <c r="V469" s="77"/>
      <c r="W469" s="75"/>
      <c r="X469" s="75"/>
      <c r="Y469" s="75"/>
      <c r="Z469" s="78"/>
      <c r="AA469" s="78"/>
      <c r="AB469" s="75"/>
      <c r="AJ469" s="72"/>
    </row>
    <row r="470" spans="1:36" s="69" customFormat="1" x14ac:dyDescent="0.25">
      <c r="A470" s="75"/>
      <c r="B470" s="75"/>
      <c r="C470" s="76"/>
      <c r="D470" s="76"/>
      <c r="E470" s="75"/>
      <c r="F470" s="75"/>
      <c r="G470" s="75"/>
      <c r="H470" s="75"/>
      <c r="I470" s="75"/>
      <c r="J470" s="75"/>
      <c r="K470" s="75"/>
      <c r="L470" s="75"/>
      <c r="M470" s="75"/>
      <c r="N470" s="75"/>
      <c r="O470" s="75"/>
      <c r="P470" s="75"/>
      <c r="Q470" s="75"/>
      <c r="R470" s="75"/>
      <c r="S470" s="75"/>
      <c r="T470" s="75"/>
      <c r="U470" s="75"/>
      <c r="V470" s="77"/>
      <c r="W470" s="75"/>
      <c r="X470" s="75"/>
      <c r="Y470" s="75"/>
      <c r="Z470" s="78"/>
      <c r="AA470" s="78"/>
      <c r="AB470" s="75"/>
      <c r="AJ470" s="72"/>
    </row>
    <row r="471" spans="1:36" s="69" customFormat="1" x14ac:dyDescent="0.25">
      <c r="A471" s="75"/>
      <c r="B471" s="75"/>
      <c r="C471" s="76"/>
      <c r="D471" s="76"/>
      <c r="E471" s="75"/>
      <c r="F471" s="75"/>
      <c r="G471" s="75"/>
      <c r="H471" s="75"/>
      <c r="I471" s="75"/>
      <c r="J471" s="75"/>
      <c r="K471" s="75"/>
      <c r="L471" s="75"/>
      <c r="M471" s="75"/>
      <c r="N471" s="75"/>
      <c r="O471" s="75"/>
      <c r="P471" s="75"/>
      <c r="Q471" s="75"/>
      <c r="R471" s="75"/>
      <c r="S471" s="75"/>
      <c r="T471" s="75"/>
      <c r="U471" s="75"/>
      <c r="V471" s="77"/>
      <c r="W471" s="75"/>
      <c r="X471" s="75"/>
      <c r="Y471" s="75"/>
      <c r="Z471" s="78"/>
      <c r="AA471" s="78"/>
      <c r="AB471" s="75"/>
      <c r="AJ471" s="72"/>
    </row>
    <row r="472" spans="1:36" s="69" customFormat="1" x14ac:dyDescent="0.25">
      <c r="A472" s="75"/>
      <c r="B472" s="75"/>
      <c r="C472" s="76"/>
      <c r="D472" s="76"/>
      <c r="E472" s="75"/>
      <c r="F472" s="75"/>
      <c r="G472" s="75"/>
      <c r="H472" s="75"/>
      <c r="I472" s="75"/>
      <c r="J472" s="75"/>
      <c r="K472" s="75"/>
      <c r="L472" s="75"/>
      <c r="M472" s="75"/>
      <c r="N472" s="75"/>
      <c r="O472" s="75"/>
      <c r="P472" s="75"/>
      <c r="Q472" s="75"/>
      <c r="R472" s="75"/>
      <c r="S472" s="75"/>
      <c r="T472" s="75"/>
      <c r="U472" s="75"/>
      <c r="V472" s="77"/>
      <c r="W472" s="75"/>
      <c r="X472" s="75"/>
      <c r="Y472" s="75"/>
      <c r="Z472" s="78"/>
      <c r="AA472" s="78"/>
      <c r="AB472" s="75"/>
      <c r="AJ472" s="72"/>
    </row>
    <row r="473" spans="1:36" s="69" customFormat="1" x14ac:dyDescent="0.25">
      <c r="A473" s="75"/>
      <c r="B473" s="75"/>
      <c r="C473" s="76"/>
      <c r="D473" s="76"/>
      <c r="E473" s="75"/>
      <c r="F473" s="75"/>
      <c r="G473" s="75"/>
      <c r="H473" s="75"/>
      <c r="I473" s="75"/>
      <c r="J473" s="75"/>
      <c r="K473" s="75"/>
      <c r="L473" s="75"/>
      <c r="M473" s="75"/>
      <c r="N473" s="75"/>
      <c r="O473" s="75"/>
      <c r="P473" s="75"/>
      <c r="Q473" s="75"/>
      <c r="R473" s="75"/>
      <c r="S473" s="75"/>
      <c r="T473" s="75"/>
      <c r="U473" s="75"/>
      <c r="V473" s="77"/>
      <c r="W473" s="75"/>
      <c r="X473" s="75"/>
      <c r="Y473" s="75"/>
      <c r="Z473" s="78"/>
      <c r="AA473" s="78"/>
      <c r="AB473" s="75"/>
      <c r="AJ473" s="72"/>
    </row>
    <row r="474" spans="1:36" s="69" customFormat="1" x14ac:dyDescent="0.25">
      <c r="A474" s="75"/>
      <c r="B474" s="75"/>
      <c r="C474" s="76"/>
      <c r="D474" s="76"/>
      <c r="E474" s="75"/>
      <c r="F474" s="75"/>
      <c r="G474" s="75"/>
      <c r="H474" s="75"/>
      <c r="I474" s="75"/>
      <c r="J474" s="75"/>
      <c r="K474" s="75"/>
      <c r="L474" s="75"/>
      <c r="M474" s="75"/>
      <c r="N474" s="75"/>
      <c r="O474" s="75"/>
      <c r="P474" s="75"/>
      <c r="Q474" s="75"/>
      <c r="R474" s="75"/>
      <c r="S474" s="75"/>
      <c r="T474" s="75"/>
      <c r="U474" s="75"/>
      <c r="V474" s="77"/>
      <c r="W474" s="75"/>
      <c r="X474" s="75"/>
      <c r="Y474" s="75"/>
      <c r="Z474" s="78"/>
      <c r="AA474" s="78"/>
      <c r="AB474" s="75"/>
      <c r="AJ474" s="72"/>
    </row>
    <row r="475" spans="1:36" s="69" customFormat="1" x14ac:dyDescent="0.25">
      <c r="A475" s="75"/>
      <c r="B475" s="75"/>
      <c r="C475" s="76"/>
      <c r="D475" s="76"/>
      <c r="E475" s="75"/>
      <c r="F475" s="75"/>
      <c r="G475" s="75"/>
      <c r="H475" s="75"/>
      <c r="I475" s="75"/>
      <c r="J475" s="75"/>
      <c r="K475" s="75"/>
      <c r="L475" s="75"/>
      <c r="M475" s="75"/>
      <c r="N475" s="75"/>
      <c r="O475" s="75"/>
      <c r="P475" s="75"/>
      <c r="Q475" s="75"/>
      <c r="R475" s="75"/>
      <c r="S475" s="75"/>
      <c r="T475" s="75"/>
      <c r="U475" s="75"/>
      <c r="V475" s="77"/>
      <c r="W475" s="75"/>
      <c r="X475" s="75"/>
      <c r="Y475" s="75"/>
      <c r="Z475" s="78"/>
      <c r="AA475" s="78"/>
      <c r="AB475" s="75"/>
      <c r="AJ475" s="72"/>
    </row>
    <row r="476" spans="1:36" s="69" customFormat="1" x14ac:dyDescent="0.25">
      <c r="A476" s="75"/>
      <c r="B476" s="75"/>
      <c r="C476" s="76"/>
      <c r="D476" s="76"/>
      <c r="E476" s="75"/>
      <c r="F476" s="75"/>
      <c r="G476" s="75"/>
      <c r="H476" s="75"/>
      <c r="I476" s="75"/>
      <c r="J476" s="75"/>
      <c r="K476" s="75"/>
      <c r="L476" s="75"/>
      <c r="M476" s="75"/>
      <c r="N476" s="75"/>
      <c r="O476" s="75"/>
      <c r="P476" s="75"/>
      <c r="Q476" s="75"/>
      <c r="R476" s="75"/>
      <c r="S476" s="75"/>
      <c r="T476" s="75"/>
      <c r="U476" s="75"/>
      <c r="V476" s="77"/>
      <c r="W476" s="75"/>
      <c r="X476" s="75"/>
      <c r="Y476" s="75"/>
      <c r="Z476" s="78"/>
      <c r="AA476" s="78"/>
      <c r="AB476" s="75"/>
      <c r="AJ476" s="72"/>
    </row>
    <row r="477" spans="1:36" s="69" customFormat="1" x14ac:dyDescent="0.25">
      <c r="A477" s="75"/>
      <c r="B477" s="75"/>
      <c r="C477" s="76"/>
      <c r="D477" s="76"/>
      <c r="E477" s="75"/>
      <c r="F477" s="75"/>
      <c r="G477" s="75"/>
      <c r="H477" s="75"/>
      <c r="I477" s="75"/>
      <c r="J477" s="75"/>
      <c r="K477" s="75"/>
      <c r="L477" s="75"/>
      <c r="M477" s="75"/>
      <c r="N477" s="75"/>
      <c r="O477" s="75"/>
      <c r="P477" s="75"/>
      <c r="Q477" s="75"/>
      <c r="R477" s="75"/>
      <c r="S477" s="75"/>
      <c r="T477" s="75"/>
      <c r="U477" s="75"/>
      <c r="V477" s="77"/>
      <c r="W477" s="75"/>
      <c r="X477" s="75"/>
      <c r="Y477" s="75"/>
      <c r="Z477" s="78"/>
      <c r="AA477" s="78"/>
      <c r="AB477" s="75"/>
      <c r="AJ477" s="72"/>
    </row>
    <row r="478" spans="1:36" s="69" customFormat="1" x14ac:dyDescent="0.25">
      <c r="A478" s="75"/>
      <c r="B478" s="75"/>
      <c r="C478" s="76"/>
      <c r="D478" s="76"/>
      <c r="E478" s="75"/>
      <c r="F478" s="75"/>
      <c r="G478" s="75"/>
      <c r="H478" s="75"/>
      <c r="I478" s="75"/>
      <c r="J478" s="75"/>
      <c r="K478" s="75"/>
      <c r="L478" s="75"/>
      <c r="M478" s="75"/>
      <c r="N478" s="75"/>
      <c r="O478" s="75"/>
      <c r="P478" s="75"/>
      <c r="Q478" s="75"/>
      <c r="R478" s="75"/>
      <c r="S478" s="75"/>
      <c r="T478" s="75"/>
      <c r="U478" s="75"/>
      <c r="V478" s="77"/>
      <c r="W478" s="75"/>
      <c r="X478" s="75"/>
      <c r="Y478" s="75"/>
      <c r="Z478" s="78"/>
      <c r="AA478" s="78"/>
      <c r="AB478" s="75"/>
      <c r="AJ478" s="72"/>
    </row>
    <row r="479" spans="1:36" s="69" customFormat="1" x14ac:dyDescent="0.25">
      <c r="A479" s="75"/>
      <c r="B479" s="75"/>
      <c r="C479" s="76"/>
      <c r="D479" s="76"/>
      <c r="E479" s="75"/>
      <c r="F479" s="75"/>
      <c r="G479" s="75"/>
      <c r="H479" s="75"/>
      <c r="I479" s="75"/>
      <c r="J479" s="75"/>
      <c r="K479" s="75"/>
      <c r="L479" s="75"/>
      <c r="M479" s="75"/>
      <c r="N479" s="75"/>
      <c r="O479" s="75"/>
      <c r="P479" s="75"/>
      <c r="Q479" s="75"/>
      <c r="R479" s="75"/>
      <c r="S479" s="75"/>
      <c r="T479" s="75"/>
      <c r="U479" s="75"/>
      <c r="V479" s="77"/>
      <c r="W479" s="75"/>
      <c r="X479" s="75"/>
      <c r="Y479" s="75"/>
      <c r="Z479" s="78"/>
      <c r="AA479" s="78"/>
      <c r="AB479" s="75"/>
      <c r="AJ479" s="72"/>
    </row>
    <row r="480" spans="1:36" s="69" customFormat="1" x14ac:dyDescent="0.25">
      <c r="A480" s="75"/>
      <c r="B480" s="75"/>
      <c r="C480" s="76"/>
      <c r="D480" s="76"/>
      <c r="E480" s="75"/>
      <c r="F480" s="75"/>
      <c r="G480" s="75"/>
      <c r="H480" s="75"/>
      <c r="I480" s="75"/>
      <c r="J480" s="75"/>
      <c r="K480" s="75"/>
      <c r="L480" s="75"/>
      <c r="M480" s="75"/>
      <c r="N480" s="75"/>
      <c r="O480" s="75"/>
      <c r="P480" s="75"/>
      <c r="Q480" s="75"/>
      <c r="R480" s="75"/>
      <c r="S480" s="75"/>
      <c r="T480" s="75"/>
      <c r="U480" s="75"/>
      <c r="V480" s="77"/>
      <c r="W480" s="75"/>
      <c r="X480" s="75"/>
      <c r="Y480" s="75"/>
      <c r="Z480" s="78"/>
      <c r="AA480" s="78"/>
      <c r="AB480" s="75"/>
      <c r="AJ480" s="72"/>
    </row>
    <row r="481" spans="1:36" s="69" customFormat="1" x14ac:dyDescent="0.25">
      <c r="A481" s="75"/>
      <c r="B481" s="75"/>
      <c r="C481" s="76"/>
      <c r="D481" s="76"/>
      <c r="E481" s="75"/>
      <c r="F481" s="75"/>
      <c r="G481" s="75"/>
      <c r="H481" s="75"/>
      <c r="I481" s="75"/>
      <c r="J481" s="75"/>
      <c r="K481" s="75"/>
      <c r="L481" s="75"/>
      <c r="M481" s="75"/>
      <c r="N481" s="75"/>
      <c r="O481" s="75"/>
      <c r="P481" s="75"/>
      <c r="Q481" s="75"/>
      <c r="R481" s="75"/>
      <c r="S481" s="75"/>
      <c r="T481" s="75"/>
      <c r="U481" s="75"/>
      <c r="V481" s="77"/>
      <c r="W481" s="75"/>
      <c r="X481" s="75"/>
      <c r="Y481" s="75"/>
      <c r="Z481" s="78"/>
      <c r="AA481" s="78"/>
      <c r="AB481" s="75"/>
      <c r="AJ481" s="72"/>
    </row>
    <row r="482" spans="1:36" s="69" customFormat="1" x14ac:dyDescent="0.25">
      <c r="A482" s="75"/>
      <c r="B482" s="75"/>
      <c r="C482" s="76"/>
      <c r="D482" s="76"/>
      <c r="E482" s="75"/>
      <c r="F482" s="75"/>
      <c r="G482" s="75"/>
      <c r="H482" s="75"/>
      <c r="I482" s="75"/>
      <c r="J482" s="75"/>
      <c r="K482" s="75"/>
      <c r="L482" s="75"/>
      <c r="M482" s="75"/>
      <c r="N482" s="75"/>
      <c r="O482" s="75"/>
      <c r="P482" s="75"/>
      <c r="Q482" s="75"/>
      <c r="R482" s="75"/>
      <c r="S482" s="75"/>
      <c r="T482" s="75"/>
      <c r="U482" s="75"/>
      <c r="V482" s="77"/>
      <c r="W482" s="75"/>
      <c r="X482" s="75"/>
      <c r="Y482" s="75"/>
      <c r="Z482" s="78"/>
      <c r="AA482" s="78"/>
      <c r="AB482" s="75"/>
      <c r="AJ482" s="72"/>
    </row>
    <row r="483" spans="1:36" s="69" customFormat="1" x14ac:dyDescent="0.25">
      <c r="A483" s="75"/>
      <c r="B483" s="75"/>
      <c r="C483" s="76"/>
      <c r="D483" s="76"/>
      <c r="E483" s="75"/>
      <c r="F483" s="75"/>
      <c r="G483" s="75"/>
      <c r="H483" s="75"/>
      <c r="I483" s="75"/>
      <c r="J483" s="75"/>
      <c r="K483" s="75"/>
      <c r="L483" s="75"/>
      <c r="M483" s="75"/>
      <c r="N483" s="75"/>
      <c r="O483" s="75"/>
      <c r="P483" s="75"/>
      <c r="Q483" s="75"/>
      <c r="R483" s="75"/>
      <c r="S483" s="75"/>
      <c r="T483" s="75"/>
      <c r="U483" s="75"/>
      <c r="V483" s="77"/>
      <c r="W483" s="75"/>
      <c r="X483" s="75"/>
      <c r="Y483" s="75"/>
      <c r="Z483" s="78"/>
      <c r="AA483" s="78"/>
      <c r="AB483" s="75"/>
      <c r="AJ483" s="72"/>
    </row>
    <row r="484" spans="1:36" s="69" customFormat="1" x14ac:dyDescent="0.25">
      <c r="A484" s="75"/>
      <c r="B484" s="75"/>
      <c r="C484" s="76"/>
      <c r="D484" s="76"/>
      <c r="E484" s="75"/>
      <c r="F484" s="75"/>
      <c r="G484" s="75"/>
      <c r="H484" s="75"/>
      <c r="I484" s="75"/>
      <c r="J484" s="75"/>
      <c r="K484" s="75"/>
      <c r="L484" s="75"/>
      <c r="M484" s="75"/>
      <c r="N484" s="75"/>
      <c r="O484" s="75"/>
      <c r="P484" s="75"/>
      <c r="Q484" s="75"/>
      <c r="R484" s="75"/>
      <c r="S484" s="75"/>
      <c r="T484" s="75"/>
      <c r="U484" s="75"/>
      <c r="V484" s="77"/>
      <c r="W484" s="75"/>
      <c r="X484" s="75"/>
      <c r="Y484" s="75"/>
      <c r="Z484" s="78"/>
      <c r="AA484" s="78"/>
      <c r="AB484" s="75"/>
      <c r="AJ484" s="72"/>
    </row>
    <row r="485" spans="1:36" s="69" customFormat="1" x14ac:dyDescent="0.25">
      <c r="A485" s="75"/>
      <c r="B485" s="75"/>
      <c r="C485" s="76"/>
      <c r="D485" s="76"/>
      <c r="E485" s="75"/>
      <c r="F485" s="75"/>
      <c r="G485" s="75"/>
      <c r="H485" s="75"/>
      <c r="I485" s="75"/>
      <c r="J485" s="75"/>
      <c r="K485" s="75"/>
      <c r="L485" s="75"/>
      <c r="M485" s="75"/>
      <c r="N485" s="75"/>
      <c r="O485" s="75"/>
      <c r="P485" s="75"/>
      <c r="Q485" s="75"/>
      <c r="R485" s="75"/>
      <c r="S485" s="75"/>
      <c r="T485" s="75"/>
      <c r="U485" s="75"/>
      <c r="V485" s="77"/>
      <c r="W485" s="75"/>
      <c r="X485" s="75"/>
      <c r="Y485" s="75"/>
      <c r="Z485" s="78"/>
      <c r="AA485" s="78"/>
      <c r="AB485" s="75"/>
      <c r="AJ485" s="72"/>
    </row>
    <row r="486" spans="1:36" s="69" customFormat="1" x14ac:dyDescent="0.25">
      <c r="A486" s="75"/>
      <c r="B486" s="75"/>
      <c r="C486" s="76"/>
      <c r="D486" s="76"/>
      <c r="E486" s="75"/>
      <c r="F486" s="75"/>
      <c r="G486" s="75"/>
      <c r="H486" s="75"/>
      <c r="I486" s="75"/>
      <c r="J486" s="75"/>
      <c r="K486" s="75"/>
      <c r="L486" s="75"/>
      <c r="M486" s="75"/>
      <c r="N486" s="75"/>
      <c r="O486" s="75"/>
      <c r="P486" s="75"/>
      <c r="Q486" s="75"/>
      <c r="R486" s="75"/>
      <c r="S486" s="75"/>
      <c r="T486" s="75"/>
      <c r="U486" s="75"/>
      <c r="V486" s="77"/>
      <c r="W486" s="75"/>
      <c r="X486" s="75"/>
      <c r="Y486" s="75"/>
      <c r="Z486" s="78"/>
      <c r="AA486" s="78"/>
      <c r="AB486" s="75"/>
      <c r="AJ486" s="72"/>
    </row>
    <row r="487" spans="1:36" s="69" customFormat="1" x14ac:dyDescent="0.25">
      <c r="A487" s="75"/>
      <c r="B487" s="75"/>
      <c r="C487" s="76"/>
      <c r="D487" s="76"/>
      <c r="E487" s="75"/>
      <c r="F487" s="75"/>
      <c r="G487" s="75"/>
      <c r="H487" s="75"/>
      <c r="I487" s="75"/>
      <c r="J487" s="75"/>
      <c r="K487" s="75"/>
      <c r="L487" s="75"/>
      <c r="M487" s="75"/>
      <c r="N487" s="75"/>
      <c r="O487" s="75"/>
      <c r="P487" s="75"/>
      <c r="Q487" s="75"/>
      <c r="R487" s="75"/>
      <c r="S487" s="75"/>
      <c r="T487" s="75"/>
      <c r="U487" s="75"/>
      <c r="V487" s="77"/>
      <c r="W487" s="75"/>
      <c r="X487" s="75"/>
      <c r="Y487" s="75"/>
      <c r="Z487" s="78"/>
      <c r="AA487" s="78"/>
      <c r="AB487" s="75"/>
      <c r="AJ487" s="72"/>
    </row>
    <row r="488" spans="1:36" s="69" customFormat="1" x14ac:dyDescent="0.25">
      <c r="A488" s="75"/>
      <c r="B488" s="75"/>
      <c r="C488" s="76"/>
      <c r="D488" s="76"/>
      <c r="E488" s="75"/>
      <c r="F488" s="75"/>
      <c r="G488" s="75"/>
      <c r="H488" s="75"/>
      <c r="I488" s="75"/>
      <c r="J488" s="75"/>
      <c r="K488" s="75"/>
      <c r="L488" s="75"/>
      <c r="M488" s="75"/>
      <c r="N488" s="75"/>
      <c r="O488" s="75"/>
      <c r="P488" s="75"/>
      <c r="Q488" s="75"/>
      <c r="R488" s="75"/>
      <c r="S488" s="75"/>
      <c r="T488" s="75"/>
      <c r="U488" s="75"/>
      <c r="V488" s="77"/>
      <c r="W488" s="75"/>
      <c r="X488" s="75"/>
      <c r="Y488" s="75"/>
      <c r="Z488" s="78"/>
      <c r="AA488" s="78"/>
      <c r="AB488" s="75"/>
      <c r="AJ488" s="72"/>
    </row>
    <row r="489" spans="1:36" s="69" customFormat="1" x14ac:dyDescent="0.25">
      <c r="A489" s="75"/>
      <c r="B489" s="75"/>
      <c r="C489" s="76"/>
      <c r="D489" s="76"/>
      <c r="E489" s="75"/>
      <c r="F489" s="75"/>
      <c r="G489" s="75"/>
      <c r="H489" s="75"/>
      <c r="I489" s="75"/>
      <c r="J489" s="75"/>
      <c r="K489" s="75"/>
      <c r="L489" s="75"/>
      <c r="M489" s="75"/>
      <c r="N489" s="75"/>
      <c r="O489" s="75"/>
      <c r="P489" s="75"/>
      <c r="Q489" s="75"/>
      <c r="R489" s="75"/>
      <c r="S489" s="75"/>
      <c r="T489" s="75"/>
      <c r="U489" s="75"/>
      <c r="V489" s="77"/>
      <c r="W489" s="75"/>
      <c r="X489" s="75"/>
      <c r="Y489" s="75"/>
      <c r="Z489" s="78"/>
      <c r="AA489" s="78"/>
      <c r="AB489" s="75"/>
      <c r="AJ489" s="72"/>
    </row>
    <row r="490" spans="1:36" s="69" customFormat="1" x14ac:dyDescent="0.25">
      <c r="A490" s="75"/>
      <c r="B490" s="75"/>
      <c r="C490" s="76"/>
      <c r="D490" s="76"/>
      <c r="E490" s="75"/>
      <c r="F490" s="75"/>
      <c r="G490" s="75"/>
      <c r="H490" s="75"/>
      <c r="I490" s="75"/>
      <c r="J490" s="75"/>
      <c r="K490" s="75"/>
      <c r="L490" s="75"/>
      <c r="M490" s="75"/>
      <c r="N490" s="75"/>
      <c r="O490" s="75"/>
      <c r="P490" s="75"/>
      <c r="Q490" s="75"/>
      <c r="R490" s="75"/>
      <c r="S490" s="75"/>
      <c r="T490" s="75"/>
      <c r="U490" s="75"/>
      <c r="V490" s="77"/>
      <c r="W490" s="75"/>
      <c r="X490" s="75"/>
      <c r="Y490" s="75"/>
      <c r="Z490" s="78"/>
      <c r="AA490" s="78"/>
      <c r="AB490" s="75"/>
      <c r="AJ490" s="72"/>
    </row>
    <row r="491" spans="1:36" s="69" customFormat="1" x14ac:dyDescent="0.25">
      <c r="A491" s="75"/>
      <c r="B491" s="75"/>
      <c r="C491" s="76"/>
      <c r="D491" s="76"/>
      <c r="E491" s="75"/>
      <c r="F491" s="75"/>
      <c r="G491" s="75"/>
      <c r="H491" s="75"/>
      <c r="I491" s="75"/>
      <c r="J491" s="75"/>
      <c r="K491" s="75"/>
      <c r="L491" s="75"/>
      <c r="M491" s="75"/>
      <c r="N491" s="75"/>
      <c r="O491" s="75"/>
      <c r="P491" s="75"/>
      <c r="Q491" s="75"/>
      <c r="R491" s="75"/>
      <c r="S491" s="75"/>
      <c r="T491" s="75"/>
      <c r="U491" s="75"/>
      <c r="V491" s="77"/>
      <c r="W491" s="75"/>
      <c r="X491" s="75"/>
      <c r="Y491" s="75"/>
      <c r="Z491" s="78"/>
      <c r="AA491" s="78"/>
      <c r="AB491" s="75"/>
      <c r="AJ491" s="72"/>
    </row>
    <row r="492" spans="1:36" s="69" customFormat="1" x14ac:dyDescent="0.25">
      <c r="A492" s="75"/>
      <c r="B492" s="75"/>
      <c r="C492" s="76"/>
      <c r="D492" s="76"/>
      <c r="E492" s="75"/>
      <c r="F492" s="75"/>
      <c r="G492" s="75"/>
      <c r="H492" s="75"/>
      <c r="I492" s="75"/>
      <c r="J492" s="75"/>
      <c r="K492" s="75"/>
      <c r="L492" s="75"/>
      <c r="M492" s="75"/>
      <c r="N492" s="75"/>
      <c r="O492" s="75"/>
      <c r="P492" s="75"/>
      <c r="Q492" s="75"/>
      <c r="R492" s="75"/>
      <c r="S492" s="75"/>
      <c r="T492" s="75"/>
      <c r="U492" s="75"/>
      <c r="V492" s="77"/>
      <c r="W492" s="75"/>
      <c r="X492" s="75"/>
      <c r="Y492" s="75"/>
      <c r="Z492" s="78"/>
      <c r="AA492" s="78"/>
      <c r="AB492" s="75"/>
      <c r="AJ492" s="72"/>
    </row>
    <row r="493" spans="1:36" s="69" customFormat="1" x14ac:dyDescent="0.25">
      <c r="A493" s="75"/>
      <c r="B493" s="75"/>
      <c r="C493" s="76"/>
      <c r="D493" s="76"/>
      <c r="E493" s="75"/>
      <c r="F493" s="75"/>
      <c r="G493" s="75"/>
      <c r="H493" s="75"/>
      <c r="I493" s="75"/>
      <c r="J493" s="75"/>
      <c r="K493" s="75"/>
      <c r="L493" s="75"/>
      <c r="M493" s="75"/>
      <c r="N493" s="75"/>
      <c r="O493" s="75"/>
      <c r="P493" s="75"/>
      <c r="Q493" s="75"/>
      <c r="R493" s="75"/>
      <c r="S493" s="75"/>
      <c r="T493" s="75"/>
      <c r="U493" s="75"/>
      <c r="V493" s="77"/>
      <c r="W493" s="75"/>
      <c r="X493" s="75"/>
      <c r="Y493" s="75"/>
      <c r="Z493" s="78"/>
      <c r="AA493" s="78"/>
      <c r="AB493" s="75"/>
      <c r="AJ493" s="72"/>
    </row>
    <row r="494" spans="1:36" s="69" customFormat="1" x14ac:dyDescent="0.25">
      <c r="A494" s="75"/>
      <c r="B494" s="75"/>
      <c r="C494" s="76"/>
      <c r="D494" s="76"/>
      <c r="E494" s="75"/>
      <c r="F494" s="75"/>
      <c r="G494" s="75"/>
      <c r="H494" s="75"/>
      <c r="I494" s="75"/>
      <c r="J494" s="75"/>
      <c r="K494" s="75"/>
      <c r="L494" s="75"/>
      <c r="M494" s="75"/>
      <c r="N494" s="75"/>
      <c r="O494" s="75"/>
      <c r="P494" s="75"/>
      <c r="Q494" s="75"/>
      <c r="R494" s="75"/>
      <c r="S494" s="75"/>
      <c r="T494" s="75"/>
      <c r="U494" s="75"/>
      <c r="V494" s="77"/>
      <c r="W494" s="75"/>
      <c r="X494" s="75"/>
      <c r="Y494" s="75"/>
      <c r="Z494" s="78"/>
      <c r="AA494" s="78"/>
      <c r="AB494" s="75"/>
      <c r="AJ494" s="72"/>
    </row>
    <row r="495" spans="1:36" s="69" customFormat="1" x14ac:dyDescent="0.25">
      <c r="A495" s="75"/>
      <c r="B495" s="75"/>
      <c r="C495" s="76"/>
      <c r="D495" s="76"/>
      <c r="E495" s="75"/>
      <c r="F495" s="75"/>
      <c r="G495" s="75"/>
      <c r="H495" s="75"/>
      <c r="I495" s="75"/>
      <c r="J495" s="75"/>
      <c r="K495" s="75"/>
      <c r="L495" s="75"/>
      <c r="M495" s="75"/>
      <c r="N495" s="75"/>
      <c r="O495" s="75"/>
      <c r="P495" s="75"/>
      <c r="Q495" s="75"/>
      <c r="R495" s="75"/>
      <c r="S495" s="75"/>
      <c r="T495" s="75"/>
      <c r="U495" s="75"/>
      <c r="V495" s="77"/>
      <c r="W495" s="75"/>
      <c r="X495" s="75"/>
      <c r="Y495" s="75"/>
      <c r="Z495" s="78"/>
      <c r="AA495" s="78"/>
      <c r="AB495" s="75"/>
      <c r="AJ495" s="72"/>
    </row>
    <row r="496" spans="1:36" s="69" customFormat="1" x14ac:dyDescent="0.25">
      <c r="A496" s="75"/>
      <c r="B496" s="75"/>
      <c r="C496" s="76"/>
      <c r="D496" s="76"/>
      <c r="E496" s="75"/>
      <c r="F496" s="75"/>
      <c r="G496" s="75"/>
      <c r="H496" s="75"/>
      <c r="I496" s="75"/>
      <c r="J496" s="75"/>
      <c r="K496" s="75"/>
      <c r="L496" s="75"/>
      <c r="M496" s="75"/>
      <c r="N496" s="75"/>
      <c r="O496" s="75"/>
      <c r="P496" s="75"/>
      <c r="Q496" s="75"/>
      <c r="R496" s="75"/>
      <c r="S496" s="75"/>
      <c r="T496" s="75"/>
      <c r="U496" s="75"/>
      <c r="V496" s="77"/>
      <c r="W496" s="75"/>
      <c r="X496" s="75"/>
      <c r="Y496" s="75"/>
      <c r="Z496" s="78"/>
      <c r="AA496" s="78"/>
      <c r="AB496" s="75"/>
      <c r="AJ496" s="72"/>
    </row>
    <row r="497" spans="1:36" s="69" customFormat="1" x14ac:dyDescent="0.25">
      <c r="A497" s="75"/>
      <c r="B497" s="75"/>
      <c r="C497" s="76"/>
      <c r="D497" s="76"/>
      <c r="E497" s="75"/>
      <c r="F497" s="75"/>
      <c r="G497" s="75"/>
      <c r="H497" s="75"/>
      <c r="I497" s="75"/>
      <c r="J497" s="75"/>
      <c r="K497" s="75"/>
      <c r="L497" s="75"/>
      <c r="M497" s="75"/>
      <c r="N497" s="75"/>
      <c r="O497" s="75"/>
      <c r="P497" s="75"/>
      <c r="Q497" s="75"/>
      <c r="R497" s="75"/>
      <c r="S497" s="75"/>
      <c r="T497" s="75"/>
      <c r="U497" s="75"/>
      <c r="V497" s="77"/>
      <c r="W497" s="75"/>
      <c r="X497" s="75"/>
      <c r="Y497" s="75"/>
      <c r="Z497" s="78"/>
      <c r="AA497" s="78"/>
      <c r="AB497" s="75"/>
      <c r="AJ497" s="72"/>
    </row>
    <row r="498" spans="1:36" s="69" customFormat="1" x14ac:dyDescent="0.25">
      <c r="A498" s="75"/>
      <c r="B498" s="75"/>
      <c r="C498" s="76"/>
      <c r="D498" s="76"/>
      <c r="E498" s="75"/>
      <c r="F498" s="75"/>
      <c r="G498" s="75"/>
      <c r="H498" s="75"/>
      <c r="I498" s="75"/>
      <c r="J498" s="75"/>
      <c r="K498" s="75"/>
      <c r="L498" s="75"/>
      <c r="M498" s="75"/>
      <c r="N498" s="75"/>
      <c r="O498" s="75"/>
      <c r="P498" s="75"/>
      <c r="Q498" s="75"/>
      <c r="R498" s="75"/>
      <c r="S498" s="75"/>
      <c r="T498" s="75"/>
      <c r="U498" s="75"/>
      <c r="V498" s="77"/>
      <c r="W498" s="75"/>
      <c r="X498" s="75"/>
      <c r="Y498" s="75"/>
      <c r="Z498" s="78"/>
      <c r="AA498" s="78"/>
      <c r="AB498" s="75"/>
      <c r="AJ498" s="72"/>
    </row>
    <row r="499" spans="1:36" s="69" customFormat="1" x14ac:dyDescent="0.25">
      <c r="A499" s="75"/>
      <c r="B499" s="75"/>
      <c r="C499" s="76"/>
      <c r="D499" s="76"/>
      <c r="E499" s="75"/>
      <c r="F499" s="75"/>
      <c r="G499" s="75"/>
      <c r="H499" s="75"/>
      <c r="I499" s="75"/>
      <c r="J499" s="75"/>
      <c r="K499" s="75"/>
      <c r="L499" s="75"/>
      <c r="M499" s="75"/>
      <c r="N499" s="75"/>
      <c r="O499" s="75"/>
      <c r="P499" s="75"/>
      <c r="Q499" s="75"/>
      <c r="R499" s="75"/>
      <c r="S499" s="75"/>
      <c r="T499" s="75"/>
      <c r="U499" s="75"/>
      <c r="V499" s="77"/>
      <c r="W499" s="75"/>
      <c r="X499" s="75"/>
      <c r="Y499" s="75"/>
      <c r="Z499" s="78"/>
      <c r="AA499" s="78"/>
      <c r="AB499" s="75"/>
      <c r="AJ499" s="72"/>
    </row>
    <row r="500" spans="1:36" s="69" customFormat="1" x14ac:dyDescent="0.25">
      <c r="A500" s="75"/>
      <c r="B500" s="75"/>
      <c r="C500" s="76"/>
      <c r="D500" s="76"/>
      <c r="E500" s="75"/>
      <c r="F500" s="75"/>
      <c r="G500" s="75"/>
      <c r="H500" s="75"/>
      <c r="I500" s="75"/>
      <c r="J500" s="75"/>
      <c r="K500" s="75"/>
      <c r="L500" s="75"/>
      <c r="M500" s="75"/>
      <c r="N500" s="75"/>
      <c r="O500" s="75"/>
      <c r="P500" s="75"/>
      <c r="Q500" s="75"/>
      <c r="R500" s="75"/>
      <c r="S500" s="75"/>
      <c r="T500" s="75"/>
      <c r="U500" s="75"/>
      <c r="V500" s="77"/>
      <c r="W500" s="75"/>
      <c r="X500" s="75"/>
      <c r="Y500" s="75"/>
      <c r="Z500" s="78"/>
      <c r="AA500" s="78"/>
      <c r="AB500" s="75"/>
      <c r="AJ500" s="72"/>
    </row>
    <row r="501" spans="1:36" s="69" customFormat="1" x14ac:dyDescent="0.25">
      <c r="A501" s="75"/>
      <c r="B501" s="75"/>
      <c r="C501" s="76"/>
      <c r="D501" s="76"/>
      <c r="E501" s="75"/>
      <c r="F501" s="75"/>
      <c r="G501" s="75"/>
      <c r="H501" s="75"/>
      <c r="I501" s="75"/>
      <c r="J501" s="75"/>
      <c r="K501" s="75"/>
      <c r="L501" s="75"/>
      <c r="M501" s="75"/>
      <c r="N501" s="75"/>
      <c r="O501" s="75"/>
      <c r="P501" s="75"/>
      <c r="Q501" s="75"/>
      <c r="R501" s="75"/>
      <c r="S501" s="75"/>
      <c r="T501" s="75"/>
      <c r="U501" s="75"/>
      <c r="V501" s="77"/>
      <c r="W501" s="75"/>
      <c r="X501" s="75"/>
      <c r="Y501" s="75"/>
      <c r="Z501" s="78"/>
      <c r="AA501" s="78"/>
      <c r="AB501" s="75"/>
      <c r="AJ501" s="72"/>
    </row>
    <row r="502" spans="1:36" s="69" customFormat="1" x14ac:dyDescent="0.25">
      <c r="A502" s="75"/>
      <c r="B502" s="75"/>
      <c r="C502" s="76"/>
      <c r="D502" s="76"/>
      <c r="E502" s="75"/>
      <c r="F502" s="75"/>
      <c r="G502" s="75"/>
      <c r="H502" s="75"/>
      <c r="I502" s="75"/>
      <c r="J502" s="75"/>
      <c r="K502" s="75"/>
      <c r="L502" s="75"/>
      <c r="M502" s="75"/>
      <c r="N502" s="75"/>
      <c r="O502" s="75"/>
      <c r="P502" s="75"/>
      <c r="Q502" s="75"/>
      <c r="R502" s="75"/>
      <c r="S502" s="75"/>
      <c r="T502" s="75"/>
      <c r="U502" s="75"/>
      <c r="V502" s="77"/>
      <c r="W502" s="75"/>
      <c r="X502" s="75"/>
      <c r="Y502" s="75"/>
      <c r="Z502" s="78"/>
      <c r="AA502" s="78"/>
      <c r="AB502" s="75"/>
      <c r="AJ502" s="72"/>
    </row>
    <row r="503" spans="1:36" s="69" customFormat="1" x14ac:dyDescent="0.25">
      <c r="A503" s="75"/>
      <c r="B503" s="75"/>
      <c r="C503" s="76"/>
      <c r="D503" s="76"/>
      <c r="E503" s="75"/>
      <c r="F503" s="75"/>
      <c r="G503" s="75"/>
      <c r="H503" s="75"/>
      <c r="I503" s="75"/>
      <c r="J503" s="75"/>
      <c r="K503" s="75"/>
      <c r="L503" s="75"/>
      <c r="M503" s="75"/>
      <c r="N503" s="75"/>
      <c r="O503" s="75"/>
      <c r="P503" s="75"/>
      <c r="Q503" s="75"/>
      <c r="R503" s="75"/>
      <c r="S503" s="75"/>
      <c r="T503" s="75"/>
      <c r="U503" s="75"/>
      <c r="V503" s="77"/>
      <c r="W503" s="75"/>
      <c r="X503" s="75"/>
      <c r="Y503" s="75"/>
      <c r="Z503" s="78"/>
      <c r="AA503" s="78"/>
      <c r="AB503" s="75"/>
      <c r="AJ503" s="72"/>
    </row>
    <row r="504" spans="1:36" s="69" customFormat="1" x14ac:dyDescent="0.25">
      <c r="A504" s="75"/>
      <c r="B504" s="75"/>
      <c r="C504" s="76"/>
      <c r="D504" s="76"/>
      <c r="E504" s="75"/>
      <c r="F504" s="75"/>
      <c r="G504" s="75"/>
      <c r="H504" s="75"/>
      <c r="I504" s="75"/>
      <c r="J504" s="75"/>
      <c r="K504" s="75"/>
      <c r="L504" s="75"/>
      <c r="M504" s="75"/>
      <c r="N504" s="75"/>
      <c r="O504" s="75"/>
      <c r="P504" s="75"/>
      <c r="Q504" s="75"/>
      <c r="R504" s="75"/>
      <c r="S504" s="75"/>
      <c r="T504" s="75"/>
      <c r="U504" s="75"/>
      <c r="V504" s="77"/>
      <c r="W504" s="75"/>
      <c r="X504" s="75"/>
      <c r="Y504" s="75"/>
      <c r="Z504" s="78"/>
      <c r="AA504" s="78"/>
      <c r="AB504" s="75"/>
      <c r="AJ504" s="72"/>
    </row>
    <row r="505" spans="1:36" s="69" customFormat="1" x14ac:dyDescent="0.25">
      <c r="A505" s="75"/>
      <c r="B505" s="75"/>
      <c r="C505" s="76"/>
      <c r="D505" s="76"/>
      <c r="E505" s="75"/>
      <c r="F505" s="75"/>
      <c r="G505" s="75"/>
      <c r="H505" s="75"/>
      <c r="I505" s="75"/>
      <c r="J505" s="75"/>
      <c r="K505" s="75"/>
      <c r="L505" s="75"/>
      <c r="M505" s="75"/>
      <c r="N505" s="75"/>
      <c r="O505" s="75"/>
      <c r="P505" s="75"/>
      <c r="Q505" s="75"/>
      <c r="R505" s="75"/>
      <c r="S505" s="75"/>
      <c r="T505" s="75"/>
      <c r="U505" s="75"/>
      <c r="V505" s="77"/>
      <c r="W505" s="75"/>
      <c r="X505" s="75"/>
      <c r="Y505" s="75"/>
      <c r="Z505" s="78"/>
      <c r="AA505" s="78"/>
      <c r="AB505" s="75"/>
      <c r="AJ505" s="72"/>
    </row>
    <row r="506" spans="1:36" s="69" customFormat="1" x14ac:dyDescent="0.25">
      <c r="A506" s="75"/>
      <c r="B506" s="75"/>
      <c r="C506" s="76"/>
      <c r="D506" s="76"/>
      <c r="E506" s="75"/>
      <c r="F506" s="75"/>
      <c r="G506" s="75"/>
      <c r="H506" s="75"/>
      <c r="I506" s="75"/>
      <c r="J506" s="75"/>
      <c r="K506" s="75"/>
      <c r="L506" s="75"/>
      <c r="M506" s="75"/>
      <c r="N506" s="75"/>
      <c r="O506" s="75"/>
      <c r="P506" s="75"/>
      <c r="Q506" s="75"/>
      <c r="R506" s="75"/>
      <c r="S506" s="75"/>
      <c r="T506" s="75"/>
      <c r="U506" s="75"/>
      <c r="V506" s="77"/>
      <c r="W506" s="75"/>
      <c r="X506" s="75"/>
      <c r="Y506" s="75"/>
      <c r="Z506" s="78"/>
      <c r="AA506" s="78"/>
      <c r="AB506" s="75"/>
      <c r="AJ506" s="72"/>
    </row>
    <row r="507" spans="1:36" s="69" customFormat="1" x14ac:dyDescent="0.25">
      <c r="A507" s="75"/>
      <c r="B507" s="75"/>
      <c r="C507" s="76"/>
      <c r="D507" s="76"/>
      <c r="E507" s="75"/>
      <c r="F507" s="75"/>
      <c r="G507" s="75"/>
      <c r="H507" s="75"/>
      <c r="I507" s="75"/>
      <c r="J507" s="75"/>
      <c r="K507" s="75"/>
      <c r="L507" s="75"/>
      <c r="M507" s="75"/>
      <c r="N507" s="75"/>
      <c r="O507" s="75"/>
      <c r="P507" s="75"/>
      <c r="Q507" s="75"/>
      <c r="R507" s="75"/>
      <c r="S507" s="75"/>
      <c r="T507" s="75"/>
      <c r="U507" s="75"/>
      <c r="V507" s="77"/>
      <c r="W507" s="75"/>
      <c r="X507" s="75"/>
      <c r="Y507" s="75"/>
      <c r="Z507" s="78"/>
      <c r="AA507" s="78"/>
      <c r="AB507" s="75"/>
      <c r="AJ507" s="72"/>
    </row>
    <row r="508" spans="1:36" s="69" customFormat="1" x14ac:dyDescent="0.25">
      <c r="A508" s="75"/>
      <c r="B508" s="75"/>
      <c r="C508" s="76"/>
      <c r="D508" s="76"/>
      <c r="E508" s="75"/>
      <c r="F508" s="75"/>
      <c r="G508" s="75"/>
      <c r="H508" s="75"/>
      <c r="I508" s="75"/>
      <c r="J508" s="75"/>
      <c r="K508" s="75"/>
      <c r="L508" s="75"/>
      <c r="M508" s="75"/>
      <c r="N508" s="75"/>
      <c r="O508" s="75"/>
      <c r="P508" s="75"/>
      <c r="Q508" s="75"/>
      <c r="R508" s="75"/>
      <c r="S508" s="75"/>
      <c r="T508" s="75"/>
      <c r="U508" s="75"/>
      <c r="V508" s="77"/>
      <c r="W508" s="75"/>
      <c r="X508" s="75"/>
      <c r="Y508" s="75"/>
      <c r="Z508" s="78"/>
      <c r="AA508" s="78"/>
      <c r="AB508" s="75"/>
      <c r="AJ508" s="72"/>
    </row>
    <row r="509" spans="1:36" s="69" customFormat="1" x14ac:dyDescent="0.25">
      <c r="A509" s="75"/>
      <c r="B509" s="75"/>
      <c r="C509" s="76"/>
      <c r="D509" s="76"/>
      <c r="E509" s="75"/>
      <c r="F509" s="75"/>
      <c r="G509" s="75"/>
      <c r="H509" s="75"/>
      <c r="I509" s="75"/>
      <c r="J509" s="75"/>
      <c r="K509" s="75"/>
      <c r="L509" s="75"/>
      <c r="M509" s="75"/>
      <c r="N509" s="75"/>
      <c r="O509" s="75"/>
      <c r="P509" s="75"/>
      <c r="Q509" s="75"/>
      <c r="R509" s="75"/>
      <c r="S509" s="75"/>
      <c r="T509" s="75"/>
      <c r="U509" s="75"/>
      <c r="V509" s="77"/>
      <c r="W509" s="75"/>
      <c r="X509" s="75"/>
      <c r="Y509" s="75"/>
      <c r="Z509" s="78"/>
      <c r="AA509" s="78"/>
      <c r="AB509" s="75"/>
      <c r="AJ509" s="72"/>
    </row>
    <row r="510" spans="1:36" s="69" customFormat="1" x14ac:dyDescent="0.25">
      <c r="A510" s="75"/>
      <c r="B510" s="75"/>
      <c r="C510" s="76"/>
      <c r="D510" s="76"/>
      <c r="E510" s="75"/>
      <c r="F510" s="75"/>
      <c r="G510" s="75"/>
      <c r="H510" s="75"/>
      <c r="I510" s="75"/>
      <c r="J510" s="75"/>
      <c r="K510" s="75"/>
      <c r="L510" s="75"/>
      <c r="M510" s="75"/>
      <c r="N510" s="75"/>
      <c r="O510" s="75"/>
      <c r="P510" s="75"/>
      <c r="Q510" s="75"/>
      <c r="R510" s="75"/>
      <c r="S510" s="75"/>
      <c r="T510" s="75"/>
      <c r="U510" s="75"/>
      <c r="V510" s="77"/>
      <c r="W510" s="75"/>
      <c r="X510" s="75"/>
      <c r="Y510" s="75"/>
      <c r="Z510" s="78"/>
      <c r="AA510" s="78"/>
      <c r="AB510" s="75"/>
      <c r="AJ510" s="72"/>
    </row>
    <row r="511" spans="1:36" s="69" customFormat="1" x14ac:dyDescent="0.25">
      <c r="A511" s="75"/>
      <c r="B511" s="75"/>
      <c r="C511" s="76"/>
      <c r="D511" s="76"/>
      <c r="E511" s="75"/>
      <c r="F511" s="75"/>
      <c r="G511" s="75"/>
      <c r="H511" s="75"/>
      <c r="I511" s="75"/>
      <c r="J511" s="75"/>
      <c r="K511" s="75"/>
      <c r="L511" s="75"/>
      <c r="M511" s="75"/>
      <c r="N511" s="75"/>
      <c r="O511" s="75"/>
      <c r="P511" s="75"/>
      <c r="Q511" s="75"/>
      <c r="R511" s="75"/>
      <c r="S511" s="75"/>
      <c r="T511" s="75"/>
      <c r="U511" s="75"/>
      <c r="V511" s="77"/>
      <c r="W511" s="75"/>
      <c r="X511" s="75"/>
      <c r="Y511" s="75"/>
      <c r="Z511" s="78"/>
      <c r="AA511" s="78"/>
      <c r="AB511" s="75"/>
      <c r="AJ511" s="72"/>
    </row>
    <row r="512" spans="1:36" s="69" customFormat="1" x14ac:dyDescent="0.25">
      <c r="A512" s="75"/>
      <c r="B512" s="75"/>
      <c r="C512" s="76"/>
      <c r="D512" s="76"/>
      <c r="E512" s="75"/>
      <c r="F512" s="75"/>
      <c r="G512" s="75"/>
      <c r="H512" s="75"/>
      <c r="I512" s="75"/>
      <c r="J512" s="75"/>
      <c r="K512" s="75"/>
      <c r="L512" s="75"/>
      <c r="M512" s="75"/>
      <c r="N512" s="75"/>
      <c r="O512" s="75"/>
      <c r="P512" s="75"/>
      <c r="Q512" s="75"/>
      <c r="R512" s="75"/>
      <c r="S512" s="75"/>
      <c r="T512" s="75"/>
      <c r="U512" s="75"/>
      <c r="V512" s="77"/>
      <c r="W512" s="75"/>
      <c r="X512" s="75"/>
      <c r="Y512" s="75"/>
      <c r="Z512" s="78"/>
      <c r="AA512" s="78"/>
      <c r="AB512" s="75"/>
      <c r="AJ512" s="72"/>
    </row>
    <row r="513" spans="1:36" s="69" customFormat="1" x14ac:dyDescent="0.25">
      <c r="A513" s="75"/>
      <c r="B513" s="75"/>
      <c r="C513" s="76"/>
      <c r="D513" s="76"/>
      <c r="E513" s="75"/>
      <c r="F513" s="75"/>
      <c r="G513" s="75"/>
      <c r="H513" s="75"/>
      <c r="I513" s="75"/>
      <c r="J513" s="75"/>
      <c r="K513" s="75"/>
      <c r="L513" s="75"/>
      <c r="M513" s="75"/>
      <c r="N513" s="75"/>
      <c r="O513" s="75"/>
      <c r="P513" s="75"/>
      <c r="Q513" s="75"/>
      <c r="R513" s="75"/>
      <c r="S513" s="75"/>
      <c r="T513" s="75"/>
      <c r="U513" s="75"/>
      <c r="V513" s="77"/>
      <c r="W513" s="75"/>
      <c r="X513" s="75"/>
      <c r="Y513" s="75"/>
      <c r="Z513" s="78"/>
      <c r="AA513" s="78"/>
      <c r="AB513" s="75"/>
      <c r="AJ513" s="72"/>
    </row>
    <row r="514" spans="1:36" s="69" customFormat="1" x14ac:dyDescent="0.25">
      <c r="A514" s="75"/>
      <c r="B514" s="75"/>
      <c r="C514" s="76"/>
      <c r="D514" s="76"/>
      <c r="E514" s="75"/>
      <c r="F514" s="75"/>
      <c r="G514" s="75"/>
      <c r="H514" s="75"/>
      <c r="I514" s="75"/>
      <c r="J514" s="75"/>
      <c r="K514" s="75"/>
      <c r="L514" s="75"/>
      <c r="M514" s="75"/>
      <c r="N514" s="75"/>
      <c r="O514" s="75"/>
      <c r="P514" s="75"/>
      <c r="Q514" s="75"/>
      <c r="R514" s="75"/>
      <c r="S514" s="75"/>
      <c r="T514" s="75"/>
      <c r="U514" s="75"/>
      <c r="V514" s="77"/>
      <c r="W514" s="75"/>
      <c r="X514" s="75"/>
      <c r="Y514" s="75"/>
      <c r="Z514" s="78"/>
      <c r="AA514" s="78"/>
      <c r="AB514" s="75"/>
      <c r="AJ514" s="72"/>
    </row>
    <row r="515" spans="1:36" s="69" customFormat="1" x14ac:dyDescent="0.25">
      <c r="A515" s="75"/>
      <c r="B515" s="75"/>
      <c r="C515" s="76"/>
      <c r="D515" s="76"/>
      <c r="E515" s="75"/>
      <c r="F515" s="75"/>
      <c r="G515" s="75"/>
      <c r="H515" s="75"/>
      <c r="I515" s="75"/>
      <c r="J515" s="75"/>
      <c r="K515" s="75"/>
      <c r="L515" s="75"/>
      <c r="M515" s="75"/>
      <c r="N515" s="75"/>
      <c r="O515" s="75"/>
      <c r="P515" s="75"/>
      <c r="Q515" s="75"/>
      <c r="R515" s="75"/>
      <c r="S515" s="75"/>
      <c r="T515" s="75"/>
      <c r="U515" s="75"/>
      <c r="V515" s="77"/>
      <c r="W515" s="75"/>
      <c r="X515" s="75"/>
      <c r="Y515" s="75"/>
      <c r="Z515" s="78"/>
      <c r="AA515" s="78"/>
      <c r="AB515" s="75"/>
      <c r="AJ515" s="72"/>
    </row>
    <row r="516" spans="1:36" s="69" customFormat="1" x14ac:dyDescent="0.25">
      <c r="A516" s="75"/>
      <c r="B516" s="75"/>
      <c r="C516" s="76"/>
      <c r="D516" s="76"/>
      <c r="E516" s="75"/>
      <c r="F516" s="75"/>
      <c r="G516" s="75"/>
      <c r="H516" s="75"/>
      <c r="I516" s="75"/>
      <c r="J516" s="75"/>
      <c r="K516" s="75"/>
      <c r="L516" s="75"/>
      <c r="M516" s="75"/>
      <c r="N516" s="75"/>
      <c r="O516" s="75"/>
      <c r="P516" s="75"/>
      <c r="Q516" s="75"/>
      <c r="R516" s="75"/>
      <c r="S516" s="75"/>
      <c r="T516" s="75"/>
      <c r="U516" s="75"/>
      <c r="V516" s="77"/>
      <c r="W516" s="75"/>
      <c r="X516" s="75"/>
      <c r="Y516" s="75"/>
      <c r="Z516" s="78"/>
      <c r="AA516" s="78"/>
      <c r="AB516" s="75"/>
      <c r="AJ516" s="72"/>
    </row>
    <row r="517" spans="1:36" s="69" customFormat="1" x14ac:dyDescent="0.25">
      <c r="A517" s="75"/>
      <c r="B517" s="75"/>
      <c r="C517" s="76"/>
      <c r="D517" s="76"/>
      <c r="E517" s="75"/>
      <c r="F517" s="75"/>
      <c r="G517" s="75"/>
      <c r="H517" s="75"/>
      <c r="I517" s="75"/>
      <c r="J517" s="75"/>
      <c r="K517" s="75"/>
      <c r="L517" s="75"/>
      <c r="M517" s="75"/>
      <c r="N517" s="75"/>
      <c r="O517" s="75"/>
      <c r="P517" s="75"/>
      <c r="Q517" s="75"/>
      <c r="R517" s="75"/>
      <c r="S517" s="75"/>
      <c r="T517" s="75"/>
      <c r="U517" s="75"/>
      <c r="V517" s="77"/>
      <c r="W517" s="75"/>
      <c r="X517" s="75"/>
      <c r="Y517" s="75"/>
      <c r="Z517" s="78"/>
      <c r="AA517" s="78"/>
      <c r="AB517" s="75"/>
      <c r="AJ517" s="72"/>
    </row>
    <row r="518" spans="1:36" s="69" customFormat="1" x14ac:dyDescent="0.25">
      <c r="A518" s="75"/>
      <c r="B518" s="75"/>
      <c r="C518" s="76"/>
      <c r="D518" s="76"/>
      <c r="E518" s="75"/>
      <c r="F518" s="75"/>
      <c r="G518" s="75"/>
      <c r="H518" s="75"/>
      <c r="I518" s="75"/>
      <c r="J518" s="75"/>
      <c r="K518" s="75"/>
      <c r="L518" s="75"/>
      <c r="M518" s="75"/>
      <c r="N518" s="75"/>
      <c r="O518" s="75"/>
      <c r="P518" s="75"/>
      <c r="Q518" s="75"/>
      <c r="R518" s="75"/>
      <c r="S518" s="75"/>
      <c r="T518" s="75"/>
      <c r="U518" s="75"/>
      <c r="V518" s="77"/>
      <c r="W518" s="75"/>
      <c r="X518" s="75"/>
      <c r="Y518" s="75"/>
      <c r="Z518" s="78"/>
      <c r="AA518" s="78"/>
      <c r="AB518" s="75"/>
      <c r="AJ518" s="72"/>
    </row>
    <row r="519" spans="1:36" s="69" customFormat="1" x14ac:dyDescent="0.25">
      <c r="A519" s="75"/>
      <c r="B519" s="75"/>
      <c r="C519" s="76"/>
      <c r="D519" s="76"/>
      <c r="E519" s="75"/>
      <c r="F519" s="75"/>
      <c r="G519" s="75"/>
      <c r="H519" s="75"/>
      <c r="I519" s="75"/>
      <c r="J519" s="75"/>
      <c r="K519" s="75"/>
      <c r="L519" s="75"/>
      <c r="M519" s="75"/>
      <c r="N519" s="75"/>
      <c r="O519" s="75"/>
      <c r="P519" s="75"/>
      <c r="Q519" s="75"/>
      <c r="R519" s="75"/>
      <c r="S519" s="75"/>
      <c r="T519" s="75"/>
      <c r="U519" s="75"/>
      <c r="V519" s="77"/>
      <c r="W519" s="75"/>
      <c r="X519" s="75"/>
      <c r="Y519" s="75"/>
      <c r="Z519" s="78"/>
      <c r="AA519" s="78"/>
      <c r="AB519" s="75"/>
      <c r="AJ519" s="72"/>
    </row>
    <row r="520" spans="1:36" s="69" customFormat="1" x14ac:dyDescent="0.25">
      <c r="A520" s="75"/>
      <c r="B520" s="75"/>
      <c r="C520" s="76"/>
      <c r="D520" s="76"/>
      <c r="E520" s="75"/>
      <c r="F520" s="75"/>
      <c r="G520" s="75"/>
      <c r="H520" s="75"/>
      <c r="I520" s="75"/>
      <c r="J520" s="75"/>
      <c r="K520" s="75"/>
      <c r="L520" s="75"/>
      <c r="M520" s="75"/>
      <c r="N520" s="75"/>
      <c r="O520" s="75"/>
      <c r="P520" s="75"/>
      <c r="Q520" s="75"/>
      <c r="R520" s="75"/>
      <c r="S520" s="75"/>
      <c r="T520" s="75"/>
      <c r="U520" s="75"/>
      <c r="V520" s="77"/>
      <c r="W520" s="75"/>
      <c r="X520" s="75"/>
      <c r="Y520" s="75"/>
      <c r="Z520" s="78"/>
      <c r="AA520" s="78"/>
      <c r="AB520" s="75"/>
      <c r="AJ520" s="72"/>
    </row>
    <row r="521" spans="1:36" s="69" customFormat="1" x14ac:dyDescent="0.25">
      <c r="A521" s="75"/>
      <c r="B521" s="75"/>
      <c r="C521" s="76"/>
      <c r="D521" s="76"/>
      <c r="E521" s="75"/>
      <c r="F521" s="75"/>
      <c r="G521" s="75"/>
      <c r="H521" s="75"/>
      <c r="I521" s="75"/>
      <c r="J521" s="75"/>
      <c r="K521" s="75"/>
      <c r="L521" s="75"/>
      <c r="M521" s="75"/>
      <c r="N521" s="75"/>
      <c r="O521" s="75"/>
      <c r="P521" s="75"/>
      <c r="Q521" s="75"/>
      <c r="R521" s="75"/>
      <c r="S521" s="75"/>
      <c r="T521" s="75"/>
      <c r="U521" s="75"/>
      <c r="V521" s="77"/>
      <c r="W521" s="75"/>
      <c r="X521" s="75"/>
      <c r="Y521" s="75"/>
      <c r="Z521" s="78"/>
      <c r="AA521" s="78"/>
      <c r="AB521" s="75"/>
      <c r="AJ521" s="72"/>
    </row>
    <row r="522" spans="1:36" s="69" customFormat="1" x14ac:dyDescent="0.25">
      <c r="A522" s="75"/>
      <c r="B522" s="75"/>
      <c r="C522" s="76"/>
      <c r="D522" s="76"/>
      <c r="E522" s="75"/>
      <c r="F522" s="75"/>
      <c r="G522" s="75"/>
      <c r="H522" s="75"/>
      <c r="I522" s="75"/>
      <c r="J522" s="75"/>
      <c r="K522" s="75"/>
      <c r="L522" s="75"/>
      <c r="M522" s="75"/>
      <c r="N522" s="75"/>
      <c r="O522" s="75"/>
      <c r="P522" s="75"/>
      <c r="Q522" s="75"/>
      <c r="R522" s="75"/>
      <c r="S522" s="75"/>
      <c r="T522" s="75"/>
      <c r="U522" s="75"/>
      <c r="V522" s="77"/>
      <c r="W522" s="75"/>
      <c r="X522" s="75"/>
      <c r="Y522" s="75"/>
      <c r="Z522" s="78"/>
      <c r="AA522" s="78"/>
      <c r="AB522" s="75"/>
      <c r="AJ522" s="72"/>
    </row>
    <row r="523" spans="1:36" s="69" customFormat="1" x14ac:dyDescent="0.25">
      <c r="A523" s="75"/>
      <c r="B523" s="75"/>
      <c r="C523" s="76"/>
      <c r="D523" s="76"/>
      <c r="E523" s="75"/>
      <c r="F523" s="75"/>
      <c r="G523" s="75"/>
      <c r="H523" s="75"/>
      <c r="I523" s="75"/>
      <c r="J523" s="75"/>
      <c r="K523" s="75"/>
      <c r="L523" s="75"/>
      <c r="M523" s="75"/>
      <c r="N523" s="75"/>
      <c r="O523" s="75"/>
      <c r="P523" s="75"/>
      <c r="Q523" s="75"/>
      <c r="R523" s="75"/>
      <c r="S523" s="75"/>
      <c r="T523" s="75"/>
      <c r="U523" s="75"/>
      <c r="V523" s="77"/>
      <c r="W523" s="75"/>
      <c r="X523" s="75"/>
      <c r="Y523" s="75"/>
      <c r="Z523" s="78"/>
      <c r="AA523" s="78"/>
      <c r="AB523" s="75"/>
      <c r="AJ523" s="72"/>
    </row>
    <row r="524" spans="1:36" s="69" customFormat="1" x14ac:dyDescent="0.25">
      <c r="A524" s="75"/>
      <c r="B524" s="75"/>
      <c r="C524" s="76"/>
      <c r="D524" s="76"/>
      <c r="E524" s="75"/>
      <c r="F524" s="75"/>
      <c r="G524" s="75"/>
      <c r="H524" s="75"/>
      <c r="I524" s="75"/>
      <c r="J524" s="75"/>
      <c r="K524" s="75"/>
      <c r="L524" s="75"/>
      <c r="M524" s="75"/>
      <c r="N524" s="75"/>
      <c r="O524" s="75"/>
      <c r="P524" s="75"/>
      <c r="Q524" s="75"/>
      <c r="R524" s="75"/>
      <c r="S524" s="75"/>
      <c r="T524" s="75"/>
      <c r="U524" s="75"/>
      <c r="V524" s="77"/>
      <c r="W524" s="75"/>
      <c r="X524" s="75"/>
      <c r="Y524" s="75"/>
      <c r="Z524" s="78"/>
      <c r="AA524" s="78"/>
      <c r="AB524" s="75"/>
      <c r="AJ524" s="72"/>
    </row>
    <row r="525" spans="1:36" s="69" customFormat="1" x14ac:dyDescent="0.25">
      <c r="A525" s="75"/>
      <c r="B525" s="75"/>
      <c r="C525" s="76"/>
      <c r="D525" s="76"/>
      <c r="E525" s="75"/>
      <c r="F525" s="75"/>
      <c r="G525" s="75"/>
      <c r="H525" s="75"/>
      <c r="I525" s="75"/>
      <c r="J525" s="75"/>
      <c r="K525" s="75"/>
      <c r="L525" s="75"/>
      <c r="M525" s="75"/>
      <c r="N525" s="75"/>
      <c r="O525" s="75"/>
      <c r="P525" s="75"/>
      <c r="Q525" s="75"/>
      <c r="R525" s="75"/>
      <c r="S525" s="75"/>
      <c r="T525" s="75"/>
      <c r="U525" s="75"/>
      <c r="V525" s="77"/>
      <c r="W525" s="75"/>
      <c r="X525" s="75"/>
      <c r="Y525" s="75"/>
      <c r="Z525" s="78"/>
      <c r="AA525" s="78"/>
      <c r="AB525" s="75"/>
      <c r="AJ525" s="72"/>
    </row>
    <row r="526" spans="1:36" s="69" customFormat="1" x14ac:dyDescent="0.25">
      <c r="A526" s="75"/>
      <c r="B526" s="75"/>
      <c r="C526" s="76"/>
      <c r="D526" s="76"/>
      <c r="E526" s="75"/>
      <c r="F526" s="75"/>
      <c r="G526" s="75"/>
      <c r="H526" s="75"/>
      <c r="I526" s="75"/>
      <c r="J526" s="75"/>
      <c r="K526" s="75"/>
      <c r="L526" s="75"/>
      <c r="M526" s="75"/>
      <c r="N526" s="75"/>
      <c r="O526" s="75"/>
      <c r="P526" s="75"/>
      <c r="Q526" s="75"/>
      <c r="R526" s="75"/>
      <c r="S526" s="75"/>
      <c r="T526" s="75"/>
      <c r="U526" s="75"/>
      <c r="V526" s="77"/>
      <c r="W526" s="75"/>
      <c r="X526" s="75"/>
      <c r="Y526" s="75"/>
      <c r="Z526" s="78"/>
      <c r="AA526" s="78"/>
      <c r="AB526" s="75"/>
      <c r="AJ526" s="72"/>
    </row>
    <row r="527" spans="1:36" s="69" customFormat="1" x14ac:dyDescent="0.25">
      <c r="A527" s="75"/>
      <c r="B527" s="75"/>
      <c r="C527" s="76"/>
      <c r="D527" s="76"/>
      <c r="E527" s="75"/>
      <c r="F527" s="75"/>
      <c r="G527" s="75"/>
      <c r="H527" s="75"/>
      <c r="I527" s="75"/>
      <c r="J527" s="75"/>
      <c r="K527" s="75"/>
      <c r="L527" s="75"/>
      <c r="M527" s="75"/>
      <c r="N527" s="75"/>
      <c r="O527" s="75"/>
      <c r="P527" s="75"/>
      <c r="Q527" s="75"/>
      <c r="R527" s="75"/>
      <c r="S527" s="75"/>
      <c r="T527" s="75"/>
      <c r="U527" s="75"/>
      <c r="V527" s="77"/>
      <c r="W527" s="75"/>
      <c r="X527" s="75"/>
      <c r="Y527" s="75"/>
      <c r="Z527" s="78"/>
      <c r="AA527" s="78"/>
      <c r="AB527" s="75"/>
      <c r="AJ527" s="72"/>
    </row>
    <row r="528" spans="1:36" s="69" customFormat="1" x14ac:dyDescent="0.25">
      <c r="A528" s="75"/>
      <c r="B528" s="75"/>
      <c r="C528" s="76"/>
      <c r="D528" s="76"/>
      <c r="E528" s="75"/>
      <c r="F528" s="75"/>
      <c r="G528" s="75"/>
      <c r="H528" s="75"/>
      <c r="I528" s="75"/>
      <c r="J528" s="75"/>
      <c r="K528" s="75"/>
      <c r="L528" s="75"/>
      <c r="M528" s="75"/>
      <c r="N528" s="75"/>
      <c r="O528" s="75"/>
      <c r="P528" s="75"/>
      <c r="Q528" s="75"/>
      <c r="R528" s="75"/>
      <c r="S528" s="75"/>
      <c r="T528" s="75"/>
      <c r="U528" s="75"/>
      <c r="V528" s="77"/>
      <c r="W528" s="75"/>
      <c r="X528" s="75"/>
      <c r="Y528" s="75"/>
      <c r="Z528" s="78"/>
      <c r="AA528" s="78"/>
      <c r="AB528" s="75"/>
      <c r="AJ528" s="72"/>
    </row>
    <row r="529" spans="1:36" s="69" customFormat="1" x14ac:dyDescent="0.25">
      <c r="A529" s="75"/>
      <c r="B529" s="75"/>
      <c r="C529" s="76"/>
      <c r="D529" s="76"/>
      <c r="E529" s="75"/>
      <c r="F529" s="75"/>
      <c r="G529" s="75"/>
      <c r="H529" s="75"/>
      <c r="I529" s="75"/>
      <c r="J529" s="75"/>
      <c r="K529" s="75"/>
      <c r="L529" s="75"/>
      <c r="M529" s="75"/>
      <c r="N529" s="75"/>
      <c r="O529" s="75"/>
      <c r="P529" s="75"/>
      <c r="Q529" s="75"/>
      <c r="R529" s="75"/>
      <c r="S529" s="75"/>
      <c r="T529" s="75"/>
      <c r="U529" s="75"/>
      <c r="V529" s="77"/>
      <c r="W529" s="75"/>
      <c r="X529" s="75"/>
      <c r="Y529" s="75"/>
      <c r="Z529" s="78"/>
      <c r="AA529" s="78"/>
      <c r="AB529" s="75"/>
      <c r="AJ529" s="72"/>
    </row>
    <row r="530" spans="1:36" s="69" customFormat="1" x14ac:dyDescent="0.25">
      <c r="A530" s="75"/>
      <c r="B530" s="75"/>
      <c r="C530" s="76"/>
      <c r="D530" s="76"/>
      <c r="E530" s="75"/>
      <c r="F530" s="75"/>
      <c r="G530" s="75"/>
      <c r="H530" s="75"/>
      <c r="I530" s="75"/>
      <c r="J530" s="75"/>
      <c r="K530" s="75"/>
      <c r="L530" s="75"/>
      <c r="M530" s="75"/>
      <c r="N530" s="75"/>
      <c r="O530" s="75"/>
      <c r="P530" s="75"/>
      <c r="Q530" s="75"/>
      <c r="R530" s="75"/>
      <c r="S530" s="75"/>
      <c r="T530" s="75"/>
      <c r="U530" s="75"/>
      <c r="V530" s="77"/>
      <c r="W530" s="75"/>
      <c r="X530" s="75"/>
      <c r="Y530" s="75"/>
      <c r="Z530" s="78"/>
      <c r="AA530" s="78"/>
      <c r="AB530" s="75"/>
      <c r="AJ530" s="72"/>
    </row>
    <row r="531" spans="1:36" s="69" customFormat="1" x14ac:dyDescent="0.25">
      <c r="A531" s="75"/>
      <c r="B531" s="75"/>
      <c r="C531" s="76"/>
      <c r="D531" s="76"/>
      <c r="E531" s="75"/>
      <c r="F531" s="75"/>
      <c r="G531" s="75"/>
      <c r="H531" s="75"/>
      <c r="I531" s="75"/>
      <c r="J531" s="75"/>
      <c r="K531" s="75"/>
      <c r="L531" s="75"/>
      <c r="M531" s="75"/>
      <c r="N531" s="75"/>
      <c r="O531" s="75"/>
      <c r="P531" s="75"/>
      <c r="Q531" s="75"/>
      <c r="R531" s="75"/>
      <c r="S531" s="75"/>
      <c r="T531" s="75"/>
      <c r="U531" s="75"/>
      <c r="V531" s="77"/>
      <c r="W531" s="75"/>
      <c r="X531" s="75"/>
      <c r="Y531" s="75"/>
      <c r="Z531" s="78"/>
      <c r="AA531" s="78"/>
      <c r="AB531" s="75"/>
      <c r="AJ531" s="72"/>
    </row>
    <row r="532" spans="1:36" s="69" customFormat="1" x14ac:dyDescent="0.25">
      <c r="A532" s="75"/>
      <c r="B532" s="75"/>
      <c r="C532" s="76"/>
      <c r="D532" s="76"/>
      <c r="E532" s="75"/>
      <c r="F532" s="75"/>
      <c r="G532" s="75"/>
      <c r="H532" s="75"/>
      <c r="I532" s="75"/>
      <c r="J532" s="75"/>
      <c r="K532" s="75"/>
      <c r="L532" s="75"/>
      <c r="M532" s="75"/>
      <c r="N532" s="75"/>
      <c r="O532" s="75"/>
      <c r="P532" s="75"/>
      <c r="Q532" s="75"/>
      <c r="R532" s="75"/>
      <c r="S532" s="75"/>
      <c r="T532" s="75"/>
      <c r="U532" s="75"/>
      <c r="V532" s="77"/>
      <c r="W532" s="75"/>
      <c r="X532" s="75"/>
      <c r="Y532" s="75"/>
      <c r="Z532" s="78"/>
      <c r="AA532" s="78"/>
      <c r="AB532" s="75"/>
      <c r="AJ532" s="72"/>
    </row>
    <row r="533" spans="1:36" s="69" customFormat="1" x14ac:dyDescent="0.25">
      <c r="A533" s="75"/>
      <c r="B533" s="75"/>
      <c r="C533" s="76"/>
      <c r="D533" s="76"/>
      <c r="E533" s="75"/>
      <c r="F533" s="75"/>
      <c r="G533" s="75"/>
      <c r="H533" s="75"/>
      <c r="I533" s="75"/>
      <c r="J533" s="75"/>
      <c r="K533" s="75"/>
      <c r="L533" s="75"/>
      <c r="M533" s="75"/>
      <c r="N533" s="75"/>
      <c r="O533" s="75"/>
      <c r="P533" s="75"/>
      <c r="Q533" s="75"/>
      <c r="R533" s="75"/>
      <c r="S533" s="75"/>
      <c r="T533" s="75"/>
      <c r="U533" s="75"/>
      <c r="V533" s="77"/>
      <c r="W533" s="75"/>
      <c r="X533" s="75"/>
      <c r="Y533" s="75"/>
      <c r="Z533" s="78"/>
      <c r="AA533" s="78"/>
      <c r="AB533" s="75"/>
      <c r="AJ533" s="72"/>
    </row>
    <row r="534" spans="1:36" s="69" customFormat="1" x14ac:dyDescent="0.25">
      <c r="A534" s="75"/>
      <c r="B534" s="75"/>
      <c r="C534" s="76"/>
      <c r="D534" s="76"/>
      <c r="E534" s="75"/>
      <c r="F534" s="75"/>
      <c r="G534" s="75"/>
      <c r="H534" s="75"/>
      <c r="I534" s="75"/>
      <c r="J534" s="75"/>
      <c r="K534" s="75"/>
      <c r="L534" s="75"/>
      <c r="M534" s="75"/>
      <c r="N534" s="75"/>
      <c r="O534" s="75"/>
      <c r="P534" s="75"/>
      <c r="Q534" s="75"/>
      <c r="R534" s="75"/>
      <c r="S534" s="75"/>
      <c r="T534" s="75"/>
      <c r="U534" s="75"/>
      <c r="V534" s="77"/>
      <c r="W534" s="75"/>
      <c r="X534" s="75"/>
      <c r="Y534" s="75"/>
      <c r="Z534" s="78"/>
      <c r="AA534" s="78"/>
      <c r="AB534" s="75"/>
      <c r="AJ534" s="72"/>
    </row>
    <row r="535" spans="1:36" s="69" customFormat="1" x14ac:dyDescent="0.25">
      <c r="A535" s="75"/>
      <c r="B535" s="75"/>
      <c r="C535" s="76"/>
      <c r="D535" s="76"/>
      <c r="E535" s="75"/>
      <c r="F535" s="75"/>
      <c r="G535" s="75"/>
      <c r="H535" s="75"/>
      <c r="I535" s="75"/>
      <c r="J535" s="75"/>
      <c r="K535" s="75"/>
      <c r="L535" s="75"/>
      <c r="M535" s="75"/>
      <c r="N535" s="75"/>
      <c r="O535" s="75"/>
      <c r="P535" s="75"/>
      <c r="Q535" s="75"/>
      <c r="R535" s="75"/>
      <c r="S535" s="75"/>
      <c r="T535" s="75"/>
      <c r="U535" s="75"/>
      <c r="V535" s="77"/>
      <c r="W535" s="75"/>
      <c r="X535" s="75"/>
      <c r="Y535" s="75"/>
      <c r="Z535" s="78"/>
      <c r="AA535" s="78"/>
      <c r="AB535" s="75"/>
      <c r="AJ535" s="72"/>
    </row>
    <row r="536" spans="1:36" s="69" customFormat="1" x14ac:dyDescent="0.25">
      <c r="A536" s="75"/>
      <c r="B536" s="75"/>
      <c r="C536" s="76"/>
      <c r="D536" s="76"/>
      <c r="E536" s="75"/>
      <c r="F536" s="75"/>
      <c r="G536" s="75"/>
      <c r="H536" s="75"/>
      <c r="I536" s="75"/>
      <c r="J536" s="75"/>
      <c r="K536" s="75"/>
      <c r="L536" s="75"/>
      <c r="M536" s="75"/>
      <c r="N536" s="75"/>
      <c r="O536" s="75"/>
      <c r="P536" s="75"/>
      <c r="Q536" s="75"/>
      <c r="R536" s="75"/>
      <c r="S536" s="75"/>
      <c r="T536" s="75"/>
      <c r="U536" s="75"/>
      <c r="V536" s="77"/>
      <c r="W536" s="75"/>
      <c r="X536" s="75"/>
      <c r="Y536" s="75"/>
      <c r="Z536" s="78"/>
      <c r="AA536" s="78"/>
      <c r="AB536" s="75"/>
      <c r="AJ536" s="72"/>
    </row>
    <row r="537" spans="1:36" s="69" customFormat="1" x14ac:dyDescent="0.25">
      <c r="A537" s="75"/>
      <c r="B537" s="75"/>
      <c r="C537" s="76"/>
      <c r="D537" s="76"/>
      <c r="E537" s="75"/>
      <c r="F537" s="75"/>
      <c r="G537" s="75"/>
      <c r="H537" s="75"/>
      <c r="I537" s="75"/>
      <c r="J537" s="75"/>
      <c r="K537" s="75"/>
      <c r="L537" s="75"/>
      <c r="M537" s="75"/>
      <c r="N537" s="75"/>
      <c r="O537" s="75"/>
      <c r="P537" s="75"/>
      <c r="Q537" s="75"/>
      <c r="R537" s="75"/>
      <c r="S537" s="75"/>
      <c r="T537" s="75"/>
      <c r="U537" s="75"/>
      <c r="V537" s="77"/>
      <c r="W537" s="75"/>
      <c r="X537" s="75"/>
      <c r="Y537" s="75"/>
      <c r="Z537" s="78"/>
      <c r="AA537" s="78"/>
      <c r="AB537" s="75"/>
      <c r="AJ537" s="72"/>
    </row>
    <row r="538" spans="1:36" s="69" customFormat="1" x14ac:dyDescent="0.25">
      <c r="A538" s="75"/>
      <c r="B538" s="75"/>
      <c r="C538" s="76"/>
      <c r="D538" s="76"/>
      <c r="E538" s="75"/>
      <c r="F538" s="75"/>
      <c r="G538" s="75"/>
      <c r="H538" s="75"/>
      <c r="I538" s="75"/>
      <c r="J538" s="75"/>
      <c r="K538" s="75"/>
      <c r="L538" s="75"/>
      <c r="M538" s="75"/>
      <c r="N538" s="75"/>
      <c r="O538" s="75"/>
      <c r="P538" s="75"/>
      <c r="Q538" s="75"/>
      <c r="R538" s="75"/>
      <c r="S538" s="75"/>
      <c r="T538" s="75"/>
      <c r="U538" s="75"/>
      <c r="V538" s="77"/>
      <c r="W538" s="75"/>
      <c r="X538" s="75"/>
      <c r="Y538" s="75"/>
      <c r="Z538" s="78"/>
      <c r="AA538" s="78"/>
      <c r="AB538" s="75"/>
      <c r="AJ538" s="72"/>
    </row>
    <row r="539" spans="1:36" s="69" customFormat="1" x14ac:dyDescent="0.25">
      <c r="A539" s="75"/>
      <c r="B539" s="75"/>
      <c r="C539" s="76"/>
      <c r="D539" s="76"/>
      <c r="E539" s="75"/>
      <c r="F539" s="75"/>
      <c r="G539" s="75"/>
      <c r="H539" s="75"/>
      <c r="I539" s="75"/>
      <c r="J539" s="75"/>
      <c r="K539" s="75"/>
      <c r="L539" s="75"/>
      <c r="M539" s="75"/>
      <c r="N539" s="75"/>
      <c r="O539" s="75"/>
      <c r="P539" s="75"/>
      <c r="Q539" s="75"/>
      <c r="R539" s="75"/>
      <c r="S539" s="75"/>
      <c r="T539" s="75"/>
      <c r="U539" s="75"/>
      <c r="V539" s="77"/>
      <c r="W539" s="75"/>
      <c r="X539" s="75"/>
      <c r="Y539" s="75"/>
      <c r="Z539" s="78"/>
      <c r="AA539" s="78"/>
      <c r="AB539" s="75"/>
      <c r="AJ539" s="72"/>
    </row>
    <row r="540" spans="1:36" s="69" customFormat="1" x14ac:dyDescent="0.25">
      <c r="A540" s="75"/>
      <c r="B540" s="75"/>
      <c r="C540" s="76"/>
      <c r="D540" s="76"/>
      <c r="E540" s="75"/>
      <c r="F540" s="75"/>
      <c r="G540" s="75"/>
      <c r="H540" s="75"/>
      <c r="I540" s="75"/>
      <c r="J540" s="75"/>
      <c r="K540" s="75"/>
      <c r="L540" s="75"/>
      <c r="M540" s="75"/>
      <c r="N540" s="75"/>
      <c r="O540" s="75"/>
      <c r="P540" s="75"/>
      <c r="Q540" s="75"/>
      <c r="R540" s="75"/>
      <c r="S540" s="75"/>
      <c r="T540" s="75"/>
      <c r="U540" s="75"/>
      <c r="V540" s="77"/>
      <c r="W540" s="75"/>
      <c r="X540" s="75"/>
      <c r="Y540" s="75"/>
      <c r="Z540" s="78"/>
      <c r="AA540" s="78"/>
      <c r="AB540" s="75"/>
      <c r="AJ540" s="72"/>
    </row>
    <row r="541" spans="1:36" s="69" customFormat="1" x14ac:dyDescent="0.25">
      <c r="A541" s="75"/>
      <c r="B541" s="75"/>
      <c r="C541" s="76"/>
      <c r="D541" s="76"/>
      <c r="E541" s="75"/>
      <c r="F541" s="75"/>
      <c r="G541" s="75"/>
      <c r="H541" s="75"/>
      <c r="I541" s="75"/>
      <c r="J541" s="75"/>
      <c r="K541" s="75"/>
      <c r="L541" s="75"/>
      <c r="M541" s="75"/>
      <c r="N541" s="75"/>
      <c r="O541" s="75"/>
      <c r="P541" s="75"/>
      <c r="Q541" s="75"/>
      <c r="R541" s="75"/>
      <c r="S541" s="75"/>
      <c r="T541" s="75"/>
      <c r="U541" s="75"/>
      <c r="V541" s="77"/>
      <c r="W541" s="75"/>
      <c r="X541" s="75"/>
      <c r="Y541" s="75"/>
      <c r="Z541" s="78"/>
      <c r="AA541" s="78"/>
      <c r="AB541" s="75"/>
      <c r="AJ541" s="72"/>
    </row>
    <row r="542" spans="1:36" s="69" customFormat="1" x14ac:dyDescent="0.25">
      <c r="A542" s="75"/>
      <c r="B542" s="75"/>
      <c r="C542" s="76"/>
      <c r="D542" s="76"/>
      <c r="E542" s="75"/>
      <c r="F542" s="75"/>
      <c r="G542" s="75"/>
      <c r="H542" s="75"/>
      <c r="I542" s="75"/>
      <c r="J542" s="75"/>
      <c r="K542" s="75"/>
      <c r="L542" s="75"/>
      <c r="M542" s="75"/>
      <c r="N542" s="75"/>
      <c r="O542" s="75"/>
      <c r="P542" s="75"/>
      <c r="Q542" s="75"/>
      <c r="R542" s="75"/>
      <c r="S542" s="75"/>
      <c r="T542" s="75"/>
      <c r="U542" s="75"/>
      <c r="V542" s="77"/>
      <c r="W542" s="75"/>
      <c r="X542" s="75"/>
      <c r="Y542" s="75"/>
      <c r="Z542" s="78"/>
      <c r="AA542" s="78"/>
      <c r="AB542" s="75"/>
      <c r="AJ542" s="72"/>
    </row>
    <row r="543" spans="1:36" s="69" customFormat="1" x14ac:dyDescent="0.25">
      <c r="A543" s="75"/>
      <c r="B543" s="75"/>
      <c r="C543" s="76"/>
      <c r="D543" s="76"/>
      <c r="E543" s="75"/>
      <c r="F543" s="75"/>
      <c r="G543" s="75"/>
      <c r="H543" s="75"/>
      <c r="I543" s="75"/>
      <c r="J543" s="75"/>
      <c r="K543" s="75"/>
      <c r="L543" s="75"/>
      <c r="M543" s="75"/>
      <c r="N543" s="75"/>
      <c r="O543" s="75"/>
      <c r="P543" s="75"/>
      <c r="Q543" s="75"/>
      <c r="R543" s="75"/>
      <c r="S543" s="75"/>
      <c r="T543" s="75"/>
      <c r="U543" s="75"/>
      <c r="V543" s="77"/>
      <c r="W543" s="75"/>
      <c r="X543" s="75"/>
      <c r="Y543" s="75"/>
      <c r="Z543" s="78"/>
      <c r="AA543" s="78"/>
      <c r="AB543" s="75"/>
      <c r="AJ543" s="72"/>
    </row>
    <row r="544" spans="1:36" s="69" customFormat="1" x14ac:dyDescent="0.25">
      <c r="A544" s="75"/>
      <c r="B544" s="75"/>
      <c r="C544" s="76"/>
      <c r="D544" s="76"/>
      <c r="E544" s="75"/>
      <c r="F544" s="75"/>
      <c r="G544" s="75"/>
      <c r="H544" s="75"/>
      <c r="I544" s="75"/>
      <c r="J544" s="75"/>
      <c r="K544" s="75"/>
      <c r="L544" s="75"/>
      <c r="M544" s="75"/>
      <c r="N544" s="75"/>
      <c r="O544" s="75"/>
      <c r="P544" s="75"/>
      <c r="Q544" s="75"/>
      <c r="R544" s="75"/>
      <c r="S544" s="75"/>
      <c r="T544" s="75"/>
      <c r="U544" s="75"/>
      <c r="V544" s="77"/>
      <c r="W544" s="75"/>
      <c r="X544" s="75"/>
      <c r="Y544" s="75"/>
      <c r="Z544" s="78"/>
      <c r="AA544" s="78"/>
      <c r="AB544" s="75"/>
      <c r="AJ544" s="72"/>
    </row>
    <row r="545" spans="1:36" s="69" customFormat="1" x14ac:dyDescent="0.25">
      <c r="A545" s="75"/>
      <c r="B545" s="75"/>
      <c r="C545" s="76"/>
      <c r="D545" s="76"/>
      <c r="E545" s="75"/>
      <c r="F545" s="75"/>
      <c r="G545" s="75"/>
      <c r="H545" s="75"/>
      <c r="I545" s="75"/>
      <c r="J545" s="75"/>
      <c r="K545" s="75"/>
      <c r="L545" s="75"/>
      <c r="M545" s="75"/>
      <c r="N545" s="75"/>
      <c r="O545" s="75"/>
      <c r="P545" s="75"/>
      <c r="Q545" s="75"/>
      <c r="R545" s="75"/>
      <c r="S545" s="75"/>
      <c r="T545" s="75"/>
      <c r="U545" s="75"/>
      <c r="V545" s="77"/>
      <c r="W545" s="75"/>
      <c r="X545" s="75"/>
      <c r="Y545" s="75"/>
      <c r="Z545" s="78"/>
      <c r="AA545" s="78"/>
      <c r="AB545" s="75"/>
      <c r="AJ545" s="72"/>
    </row>
    <row r="546" spans="1:36" s="69" customFormat="1" x14ac:dyDescent="0.25">
      <c r="A546" s="75"/>
      <c r="B546" s="75"/>
      <c r="C546" s="76"/>
      <c r="D546" s="76"/>
      <c r="E546" s="75"/>
      <c r="F546" s="75"/>
      <c r="G546" s="75"/>
      <c r="H546" s="75"/>
      <c r="I546" s="75"/>
      <c r="J546" s="75"/>
      <c r="K546" s="75"/>
      <c r="L546" s="75"/>
      <c r="M546" s="75"/>
      <c r="N546" s="75"/>
      <c r="O546" s="75"/>
      <c r="P546" s="75"/>
      <c r="Q546" s="75"/>
      <c r="R546" s="75"/>
      <c r="S546" s="75"/>
      <c r="T546" s="75"/>
      <c r="U546" s="75"/>
      <c r="V546" s="77"/>
      <c r="W546" s="75"/>
      <c r="X546" s="75"/>
      <c r="Y546" s="75"/>
      <c r="Z546" s="78"/>
      <c r="AA546" s="78"/>
      <c r="AB546" s="75"/>
      <c r="AJ546" s="72"/>
    </row>
    <row r="547" spans="1:36" s="69" customFormat="1" x14ac:dyDescent="0.25">
      <c r="A547" s="75"/>
      <c r="B547" s="75"/>
      <c r="C547" s="76"/>
      <c r="D547" s="76"/>
      <c r="E547" s="75"/>
      <c r="F547" s="75"/>
      <c r="G547" s="75"/>
      <c r="H547" s="75"/>
      <c r="I547" s="75"/>
      <c r="J547" s="75"/>
      <c r="K547" s="75"/>
      <c r="L547" s="75"/>
      <c r="M547" s="75"/>
      <c r="N547" s="75"/>
      <c r="O547" s="75"/>
      <c r="P547" s="75"/>
      <c r="Q547" s="75"/>
      <c r="R547" s="75"/>
      <c r="S547" s="75"/>
      <c r="T547" s="75"/>
      <c r="U547" s="75"/>
      <c r="V547" s="77"/>
      <c r="W547" s="75"/>
      <c r="X547" s="75"/>
      <c r="Y547" s="75"/>
      <c r="Z547" s="78"/>
      <c r="AA547" s="78"/>
      <c r="AB547" s="75"/>
      <c r="AJ547" s="72"/>
    </row>
    <row r="548" spans="1:36" s="69" customFormat="1" x14ac:dyDescent="0.25">
      <c r="A548" s="75"/>
      <c r="B548" s="75"/>
      <c r="C548" s="76"/>
      <c r="D548" s="76"/>
      <c r="E548" s="75"/>
      <c r="F548" s="75"/>
      <c r="G548" s="75"/>
      <c r="H548" s="75"/>
      <c r="I548" s="75"/>
      <c r="J548" s="75"/>
      <c r="K548" s="75"/>
      <c r="L548" s="75"/>
      <c r="M548" s="75"/>
      <c r="N548" s="75"/>
      <c r="O548" s="75"/>
      <c r="P548" s="75"/>
      <c r="Q548" s="75"/>
      <c r="R548" s="75"/>
      <c r="S548" s="75"/>
      <c r="T548" s="75"/>
      <c r="U548" s="75"/>
      <c r="V548" s="77"/>
      <c r="W548" s="75"/>
      <c r="X548" s="75"/>
      <c r="Y548" s="75"/>
      <c r="Z548" s="78"/>
      <c r="AA548" s="78"/>
      <c r="AB548" s="75"/>
      <c r="AJ548" s="72"/>
    </row>
    <row r="549" spans="1:36" s="69" customFormat="1" x14ac:dyDescent="0.25">
      <c r="A549" s="75"/>
      <c r="B549" s="75"/>
      <c r="C549" s="76"/>
      <c r="D549" s="76"/>
      <c r="E549" s="75"/>
      <c r="F549" s="75"/>
      <c r="G549" s="75"/>
      <c r="H549" s="75"/>
      <c r="I549" s="75"/>
      <c r="J549" s="75"/>
      <c r="K549" s="75"/>
      <c r="L549" s="75"/>
      <c r="M549" s="75"/>
      <c r="N549" s="75"/>
      <c r="O549" s="75"/>
      <c r="P549" s="75"/>
      <c r="Q549" s="75"/>
      <c r="R549" s="75"/>
      <c r="S549" s="75"/>
      <c r="T549" s="75"/>
      <c r="U549" s="75"/>
      <c r="V549" s="77"/>
      <c r="W549" s="75"/>
      <c r="X549" s="75"/>
      <c r="Y549" s="75"/>
      <c r="Z549" s="78"/>
      <c r="AA549" s="78"/>
      <c r="AB549" s="75"/>
      <c r="AJ549" s="72"/>
    </row>
    <row r="550" spans="1:36" s="69" customFormat="1" x14ac:dyDescent="0.25">
      <c r="A550" s="75"/>
      <c r="B550" s="75"/>
      <c r="C550" s="76"/>
      <c r="D550" s="76"/>
      <c r="E550" s="75"/>
      <c r="F550" s="75"/>
      <c r="G550" s="75"/>
      <c r="H550" s="75"/>
      <c r="I550" s="75"/>
      <c r="J550" s="75"/>
      <c r="K550" s="75"/>
      <c r="L550" s="75"/>
      <c r="M550" s="75"/>
      <c r="N550" s="75"/>
      <c r="O550" s="75"/>
      <c r="P550" s="75"/>
      <c r="Q550" s="75"/>
      <c r="R550" s="75"/>
      <c r="S550" s="75"/>
      <c r="T550" s="75"/>
      <c r="U550" s="75"/>
      <c r="V550" s="77"/>
      <c r="W550" s="75"/>
      <c r="X550" s="75"/>
      <c r="Y550" s="75"/>
      <c r="Z550" s="78"/>
      <c r="AA550" s="78"/>
      <c r="AB550" s="75"/>
      <c r="AJ550" s="72"/>
    </row>
    <row r="551" spans="1:36" s="69" customFormat="1" x14ac:dyDescent="0.25">
      <c r="A551" s="75"/>
      <c r="B551" s="75"/>
      <c r="C551" s="76"/>
      <c r="D551" s="76"/>
      <c r="E551" s="75"/>
      <c r="F551" s="75"/>
      <c r="G551" s="75"/>
      <c r="H551" s="75"/>
      <c r="I551" s="75"/>
      <c r="J551" s="75"/>
      <c r="K551" s="75"/>
      <c r="L551" s="75"/>
      <c r="M551" s="75"/>
      <c r="N551" s="75"/>
      <c r="O551" s="75"/>
      <c r="P551" s="75"/>
      <c r="Q551" s="75"/>
      <c r="R551" s="75"/>
      <c r="S551" s="75"/>
      <c r="T551" s="75"/>
      <c r="U551" s="75"/>
      <c r="V551" s="77"/>
      <c r="W551" s="75"/>
      <c r="X551" s="75"/>
      <c r="Y551" s="75"/>
      <c r="Z551" s="78"/>
      <c r="AA551" s="78"/>
      <c r="AB551" s="75"/>
      <c r="AJ551" s="72"/>
    </row>
    <row r="552" spans="1:36" s="69" customFormat="1" x14ac:dyDescent="0.25">
      <c r="A552" s="75"/>
      <c r="B552" s="75"/>
      <c r="C552" s="76"/>
      <c r="D552" s="76"/>
      <c r="E552" s="75"/>
      <c r="F552" s="75"/>
      <c r="G552" s="75"/>
      <c r="H552" s="75"/>
      <c r="I552" s="75"/>
      <c r="J552" s="75"/>
      <c r="K552" s="75"/>
      <c r="L552" s="75"/>
      <c r="M552" s="75"/>
      <c r="N552" s="75"/>
      <c r="O552" s="75"/>
      <c r="P552" s="75"/>
      <c r="Q552" s="75"/>
      <c r="R552" s="75"/>
      <c r="S552" s="75"/>
      <c r="T552" s="75"/>
      <c r="U552" s="75"/>
      <c r="V552" s="77"/>
      <c r="W552" s="75"/>
      <c r="X552" s="75"/>
      <c r="Y552" s="75"/>
      <c r="Z552" s="78"/>
      <c r="AA552" s="78"/>
      <c r="AB552" s="75"/>
      <c r="AJ552" s="72"/>
    </row>
    <row r="553" spans="1:36" s="69" customFormat="1" x14ac:dyDescent="0.25">
      <c r="A553" s="75"/>
      <c r="B553" s="75"/>
      <c r="C553" s="76"/>
      <c r="D553" s="76"/>
      <c r="E553" s="75"/>
      <c r="F553" s="75"/>
      <c r="G553" s="75"/>
      <c r="H553" s="75"/>
      <c r="I553" s="75"/>
      <c r="J553" s="75"/>
      <c r="K553" s="75"/>
      <c r="L553" s="75"/>
      <c r="M553" s="75"/>
      <c r="N553" s="75"/>
      <c r="O553" s="75"/>
      <c r="P553" s="75"/>
      <c r="Q553" s="75"/>
      <c r="R553" s="75"/>
      <c r="S553" s="75"/>
      <c r="T553" s="75"/>
      <c r="U553" s="75"/>
      <c r="V553" s="77"/>
      <c r="W553" s="75"/>
      <c r="X553" s="75"/>
      <c r="Y553" s="75"/>
      <c r="Z553" s="78"/>
      <c r="AA553" s="78"/>
      <c r="AB553" s="75"/>
      <c r="AJ553" s="72"/>
    </row>
    <row r="554" spans="1:36" s="69" customFormat="1" x14ac:dyDescent="0.25">
      <c r="A554" s="75"/>
      <c r="B554" s="75"/>
      <c r="C554" s="76"/>
      <c r="D554" s="76"/>
      <c r="E554" s="75"/>
      <c r="F554" s="75"/>
      <c r="G554" s="75"/>
      <c r="H554" s="75"/>
      <c r="I554" s="75"/>
      <c r="J554" s="75"/>
      <c r="K554" s="75"/>
      <c r="L554" s="75"/>
      <c r="M554" s="75"/>
      <c r="N554" s="75"/>
      <c r="O554" s="75"/>
      <c r="P554" s="75"/>
      <c r="Q554" s="75"/>
      <c r="R554" s="75"/>
      <c r="S554" s="75"/>
      <c r="T554" s="75"/>
      <c r="U554" s="75"/>
      <c r="V554" s="77"/>
      <c r="W554" s="75"/>
      <c r="X554" s="75"/>
      <c r="Y554" s="75"/>
      <c r="Z554" s="78"/>
      <c r="AA554" s="78"/>
      <c r="AB554" s="75"/>
      <c r="AJ554" s="72"/>
    </row>
    <row r="555" spans="1:36" s="69" customFormat="1" x14ac:dyDescent="0.25">
      <c r="A555" s="75"/>
      <c r="B555" s="75"/>
      <c r="C555" s="76"/>
      <c r="D555" s="76"/>
      <c r="E555" s="75"/>
      <c r="F555" s="75"/>
      <c r="G555" s="75"/>
      <c r="H555" s="75"/>
      <c r="I555" s="75"/>
      <c r="J555" s="75"/>
      <c r="K555" s="75"/>
      <c r="L555" s="75"/>
      <c r="M555" s="75"/>
      <c r="N555" s="75"/>
      <c r="O555" s="75"/>
      <c r="P555" s="75"/>
      <c r="Q555" s="75"/>
      <c r="R555" s="75"/>
      <c r="S555" s="75"/>
      <c r="T555" s="75"/>
      <c r="U555" s="75"/>
      <c r="V555" s="77"/>
      <c r="W555" s="75"/>
      <c r="X555" s="75"/>
      <c r="Y555" s="75"/>
      <c r="Z555" s="78"/>
      <c r="AA555" s="78"/>
      <c r="AB555" s="75"/>
      <c r="AJ555" s="72"/>
    </row>
    <row r="556" spans="1:36" s="69" customFormat="1" x14ac:dyDescent="0.25">
      <c r="A556" s="75"/>
      <c r="B556" s="75"/>
      <c r="C556" s="76"/>
      <c r="D556" s="76"/>
      <c r="E556" s="75"/>
      <c r="F556" s="75"/>
      <c r="G556" s="75"/>
      <c r="H556" s="75"/>
      <c r="I556" s="75"/>
      <c r="J556" s="75"/>
      <c r="K556" s="75"/>
      <c r="L556" s="75"/>
      <c r="M556" s="75"/>
      <c r="N556" s="75"/>
      <c r="O556" s="75"/>
      <c r="P556" s="75"/>
      <c r="Q556" s="75"/>
      <c r="R556" s="75"/>
      <c r="S556" s="75"/>
      <c r="T556" s="75"/>
      <c r="U556" s="75"/>
      <c r="V556" s="77"/>
      <c r="W556" s="75"/>
      <c r="X556" s="75"/>
      <c r="Y556" s="75"/>
      <c r="Z556" s="78"/>
      <c r="AA556" s="78"/>
      <c r="AB556" s="75"/>
      <c r="AJ556" s="72"/>
    </row>
    <row r="557" spans="1:36" s="69" customFormat="1" x14ac:dyDescent="0.25">
      <c r="A557" s="75"/>
      <c r="B557" s="75"/>
      <c r="C557" s="76"/>
      <c r="D557" s="76"/>
      <c r="E557" s="75"/>
      <c r="F557" s="75"/>
      <c r="G557" s="75"/>
      <c r="H557" s="75"/>
      <c r="I557" s="75"/>
      <c r="J557" s="75"/>
      <c r="K557" s="75"/>
      <c r="L557" s="75"/>
      <c r="M557" s="75"/>
      <c r="N557" s="75"/>
      <c r="O557" s="75"/>
      <c r="P557" s="75"/>
      <c r="Q557" s="75"/>
      <c r="R557" s="75"/>
      <c r="S557" s="75"/>
      <c r="T557" s="75"/>
      <c r="U557" s="75"/>
      <c r="V557" s="77"/>
      <c r="W557" s="75"/>
      <c r="X557" s="75"/>
      <c r="Y557" s="75"/>
      <c r="Z557" s="78"/>
      <c r="AA557" s="78"/>
      <c r="AB557" s="75"/>
      <c r="AJ557" s="72"/>
    </row>
    <row r="558" spans="1:36" s="69" customFormat="1" x14ac:dyDescent="0.25">
      <c r="A558" s="75"/>
      <c r="B558" s="75"/>
      <c r="C558" s="76"/>
      <c r="D558" s="76"/>
      <c r="E558" s="75"/>
      <c r="F558" s="75"/>
      <c r="G558" s="75"/>
      <c r="H558" s="75"/>
      <c r="I558" s="75"/>
      <c r="J558" s="75"/>
      <c r="K558" s="75"/>
      <c r="L558" s="75"/>
      <c r="M558" s="75"/>
      <c r="N558" s="75"/>
      <c r="O558" s="75"/>
      <c r="P558" s="75"/>
      <c r="Q558" s="75"/>
      <c r="R558" s="75"/>
      <c r="S558" s="75"/>
      <c r="T558" s="75"/>
      <c r="U558" s="75"/>
      <c r="V558" s="77"/>
      <c r="W558" s="75"/>
      <c r="X558" s="75"/>
      <c r="Y558" s="75"/>
      <c r="Z558" s="78"/>
      <c r="AA558" s="78"/>
      <c r="AB558" s="75"/>
      <c r="AJ558" s="72"/>
    </row>
    <row r="559" spans="1:36" s="69" customFormat="1" x14ac:dyDescent="0.25">
      <c r="A559" s="75"/>
      <c r="B559" s="75"/>
      <c r="C559" s="76"/>
      <c r="D559" s="76"/>
      <c r="E559" s="75"/>
      <c r="F559" s="75"/>
      <c r="G559" s="75"/>
      <c r="H559" s="75"/>
      <c r="I559" s="75"/>
      <c r="J559" s="75"/>
      <c r="K559" s="75"/>
      <c r="L559" s="75"/>
      <c r="M559" s="75"/>
      <c r="N559" s="75"/>
      <c r="O559" s="75"/>
      <c r="P559" s="75"/>
      <c r="Q559" s="75"/>
      <c r="R559" s="75"/>
      <c r="S559" s="75"/>
      <c r="T559" s="75"/>
      <c r="U559" s="75"/>
      <c r="V559" s="77"/>
      <c r="W559" s="75"/>
      <c r="X559" s="75"/>
      <c r="Y559" s="75"/>
      <c r="Z559" s="78"/>
      <c r="AA559" s="78"/>
      <c r="AB559" s="75"/>
      <c r="AJ559" s="72"/>
    </row>
    <row r="560" spans="1:36" s="69" customFormat="1" x14ac:dyDescent="0.25">
      <c r="A560" s="75"/>
      <c r="B560" s="75"/>
      <c r="C560" s="76"/>
      <c r="D560" s="76"/>
      <c r="E560" s="75"/>
      <c r="F560" s="75"/>
      <c r="G560" s="75"/>
      <c r="H560" s="75"/>
      <c r="I560" s="75"/>
      <c r="J560" s="75"/>
      <c r="K560" s="75"/>
      <c r="L560" s="75"/>
      <c r="M560" s="75"/>
      <c r="N560" s="75"/>
      <c r="O560" s="75"/>
      <c r="P560" s="75"/>
      <c r="Q560" s="75"/>
      <c r="R560" s="75"/>
      <c r="S560" s="75"/>
      <c r="T560" s="75"/>
      <c r="U560" s="75"/>
      <c r="V560" s="77"/>
      <c r="W560" s="75"/>
      <c r="X560" s="75"/>
      <c r="Y560" s="75"/>
      <c r="Z560" s="78"/>
      <c r="AA560" s="78"/>
      <c r="AB560" s="75"/>
      <c r="AJ560" s="72"/>
    </row>
    <row r="561" spans="1:36" s="69" customFormat="1" x14ac:dyDescent="0.25">
      <c r="A561" s="75"/>
      <c r="B561" s="75"/>
      <c r="C561" s="76"/>
      <c r="D561" s="76"/>
      <c r="E561" s="75"/>
      <c r="F561" s="75"/>
      <c r="G561" s="75"/>
      <c r="H561" s="75"/>
      <c r="I561" s="75"/>
      <c r="J561" s="75"/>
      <c r="K561" s="75"/>
      <c r="L561" s="75"/>
      <c r="M561" s="75"/>
      <c r="N561" s="75"/>
      <c r="O561" s="75"/>
      <c r="P561" s="75"/>
      <c r="Q561" s="75"/>
      <c r="R561" s="75"/>
      <c r="S561" s="75"/>
      <c r="T561" s="75"/>
      <c r="U561" s="75"/>
      <c r="V561" s="77"/>
      <c r="W561" s="75"/>
      <c r="X561" s="75"/>
      <c r="Y561" s="75"/>
      <c r="Z561" s="78"/>
      <c r="AA561" s="78"/>
      <c r="AB561" s="75"/>
      <c r="AJ561" s="72"/>
    </row>
    <row r="562" spans="1:36" s="69" customFormat="1" x14ac:dyDescent="0.25">
      <c r="A562" s="75"/>
      <c r="B562" s="75"/>
      <c r="C562" s="76"/>
      <c r="D562" s="76"/>
      <c r="E562" s="75"/>
      <c r="F562" s="75"/>
      <c r="G562" s="75"/>
      <c r="H562" s="75"/>
      <c r="I562" s="75"/>
      <c r="J562" s="75"/>
      <c r="K562" s="75"/>
      <c r="L562" s="75"/>
      <c r="M562" s="75"/>
      <c r="N562" s="75"/>
      <c r="O562" s="75"/>
      <c r="P562" s="75"/>
      <c r="Q562" s="75"/>
      <c r="R562" s="75"/>
      <c r="S562" s="75"/>
      <c r="T562" s="75"/>
      <c r="U562" s="75"/>
      <c r="V562" s="77"/>
      <c r="W562" s="75"/>
      <c r="X562" s="75"/>
      <c r="Y562" s="75"/>
      <c r="Z562" s="78"/>
      <c r="AA562" s="78"/>
      <c r="AB562" s="75"/>
      <c r="AJ562" s="72"/>
    </row>
    <row r="563" spans="1:36" s="69" customFormat="1" x14ac:dyDescent="0.25">
      <c r="A563" s="75"/>
      <c r="B563" s="75"/>
      <c r="C563" s="76"/>
      <c r="D563" s="76"/>
      <c r="E563" s="75"/>
      <c r="F563" s="75"/>
      <c r="G563" s="75"/>
      <c r="H563" s="75"/>
      <c r="I563" s="75"/>
      <c r="J563" s="75"/>
      <c r="K563" s="75"/>
      <c r="L563" s="75"/>
      <c r="M563" s="75"/>
      <c r="N563" s="75"/>
      <c r="O563" s="75"/>
      <c r="P563" s="75"/>
      <c r="Q563" s="75"/>
      <c r="R563" s="75"/>
      <c r="S563" s="75"/>
      <c r="T563" s="75"/>
      <c r="U563" s="75"/>
      <c r="V563" s="77"/>
      <c r="W563" s="75"/>
      <c r="X563" s="75"/>
      <c r="Y563" s="75"/>
      <c r="Z563" s="78"/>
      <c r="AA563" s="78"/>
      <c r="AB563" s="75"/>
      <c r="AJ563" s="72"/>
    </row>
    <row r="564" spans="1:36" s="69" customFormat="1" x14ac:dyDescent="0.25">
      <c r="A564" s="75"/>
      <c r="B564" s="75"/>
      <c r="C564" s="76"/>
      <c r="D564" s="76"/>
      <c r="E564" s="75"/>
      <c r="F564" s="75"/>
      <c r="G564" s="75"/>
      <c r="H564" s="75"/>
      <c r="I564" s="75"/>
      <c r="J564" s="75"/>
      <c r="K564" s="75"/>
      <c r="L564" s="75"/>
      <c r="M564" s="75"/>
      <c r="N564" s="75"/>
      <c r="O564" s="75"/>
      <c r="P564" s="75"/>
      <c r="Q564" s="75"/>
      <c r="R564" s="75"/>
      <c r="S564" s="75"/>
      <c r="T564" s="75"/>
      <c r="U564" s="75"/>
      <c r="V564" s="77"/>
      <c r="W564" s="75"/>
      <c r="X564" s="75"/>
      <c r="Y564" s="75"/>
      <c r="Z564" s="78"/>
      <c r="AA564" s="78"/>
      <c r="AB564" s="75"/>
      <c r="AJ564" s="72"/>
    </row>
    <row r="565" spans="1:36" s="69" customFormat="1" x14ac:dyDescent="0.25">
      <c r="A565" s="75"/>
      <c r="B565" s="75"/>
      <c r="C565" s="76"/>
      <c r="D565" s="76"/>
      <c r="E565" s="75"/>
      <c r="F565" s="75"/>
      <c r="G565" s="75"/>
      <c r="H565" s="75"/>
      <c r="I565" s="75"/>
      <c r="J565" s="75"/>
      <c r="K565" s="75"/>
      <c r="L565" s="75"/>
      <c r="M565" s="75"/>
      <c r="N565" s="75"/>
      <c r="O565" s="75"/>
      <c r="P565" s="75"/>
      <c r="Q565" s="75"/>
      <c r="R565" s="75"/>
      <c r="S565" s="75"/>
      <c r="T565" s="75"/>
      <c r="U565" s="75"/>
      <c r="V565" s="77"/>
      <c r="W565" s="75"/>
      <c r="X565" s="75"/>
      <c r="Y565" s="75"/>
      <c r="Z565" s="78"/>
      <c r="AA565" s="78"/>
      <c r="AB565" s="75"/>
      <c r="AJ565" s="72"/>
    </row>
    <row r="566" spans="1:36" s="69" customFormat="1" x14ac:dyDescent="0.25">
      <c r="A566" s="75"/>
      <c r="B566" s="75"/>
      <c r="C566" s="76"/>
      <c r="D566" s="76"/>
      <c r="E566" s="75"/>
      <c r="F566" s="75"/>
      <c r="G566" s="75"/>
      <c r="H566" s="75"/>
      <c r="I566" s="75"/>
      <c r="J566" s="75"/>
      <c r="K566" s="75"/>
      <c r="L566" s="75"/>
      <c r="M566" s="75"/>
      <c r="N566" s="75"/>
      <c r="O566" s="75"/>
      <c r="P566" s="75"/>
      <c r="Q566" s="75"/>
      <c r="R566" s="75"/>
      <c r="S566" s="75"/>
      <c r="T566" s="75"/>
      <c r="U566" s="75"/>
      <c r="V566" s="77"/>
      <c r="W566" s="75"/>
      <c r="X566" s="75"/>
      <c r="Y566" s="75"/>
      <c r="Z566" s="78"/>
      <c r="AA566" s="78"/>
      <c r="AB566" s="75"/>
      <c r="AJ566" s="72"/>
    </row>
    <row r="567" spans="1:36" s="69" customFormat="1" x14ac:dyDescent="0.25">
      <c r="A567" s="75"/>
      <c r="B567" s="75"/>
      <c r="C567" s="76"/>
      <c r="D567" s="76"/>
      <c r="E567" s="75"/>
      <c r="F567" s="75"/>
      <c r="G567" s="75"/>
      <c r="H567" s="75"/>
      <c r="I567" s="75"/>
      <c r="J567" s="75"/>
      <c r="K567" s="75"/>
      <c r="L567" s="75"/>
      <c r="M567" s="75"/>
      <c r="N567" s="75"/>
      <c r="O567" s="75"/>
      <c r="P567" s="75"/>
      <c r="Q567" s="75"/>
      <c r="R567" s="75"/>
      <c r="S567" s="75"/>
      <c r="T567" s="75"/>
      <c r="U567" s="75"/>
      <c r="V567" s="77"/>
      <c r="W567" s="75"/>
      <c r="X567" s="75"/>
      <c r="Y567" s="75"/>
      <c r="Z567" s="78"/>
      <c r="AA567" s="78"/>
      <c r="AB567" s="75"/>
      <c r="AJ567" s="72"/>
    </row>
    <row r="568" spans="1:36" s="69" customFormat="1" x14ac:dyDescent="0.25">
      <c r="A568" s="75"/>
      <c r="B568" s="75"/>
      <c r="C568" s="76"/>
      <c r="D568" s="76"/>
      <c r="E568" s="75"/>
      <c r="F568" s="75"/>
      <c r="G568" s="75"/>
      <c r="H568" s="75"/>
      <c r="I568" s="75"/>
      <c r="J568" s="75"/>
      <c r="K568" s="75"/>
      <c r="L568" s="75"/>
      <c r="M568" s="75"/>
      <c r="N568" s="75"/>
      <c r="O568" s="75"/>
      <c r="P568" s="75"/>
      <c r="Q568" s="75"/>
      <c r="R568" s="75"/>
      <c r="S568" s="75"/>
      <c r="T568" s="75"/>
      <c r="U568" s="75"/>
      <c r="V568" s="77"/>
      <c r="W568" s="75"/>
      <c r="X568" s="75"/>
      <c r="Y568" s="75"/>
      <c r="Z568" s="78"/>
      <c r="AA568" s="78"/>
      <c r="AB568" s="75"/>
      <c r="AJ568" s="72"/>
    </row>
    <row r="569" spans="1:36" s="69" customFormat="1" x14ac:dyDescent="0.25">
      <c r="A569" s="75"/>
      <c r="B569" s="75"/>
      <c r="C569" s="76"/>
      <c r="D569" s="76"/>
      <c r="E569" s="75"/>
      <c r="F569" s="75"/>
      <c r="G569" s="75"/>
      <c r="H569" s="75"/>
      <c r="I569" s="75"/>
      <c r="J569" s="75"/>
      <c r="K569" s="75"/>
      <c r="L569" s="75"/>
      <c r="M569" s="75"/>
      <c r="N569" s="75"/>
      <c r="O569" s="75"/>
      <c r="P569" s="75"/>
      <c r="Q569" s="75"/>
      <c r="R569" s="75"/>
      <c r="S569" s="75"/>
      <c r="T569" s="75"/>
      <c r="U569" s="75"/>
      <c r="V569" s="77"/>
      <c r="W569" s="75"/>
      <c r="X569" s="75"/>
      <c r="Y569" s="75"/>
      <c r="Z569" s="78"/>
      <c r="AA569" s="78"/>
      <c r="AB569" s="75"/>
      <c r="AJ569" s="72"/>
    </row>
    <row r="570" spans="1:36" s="69" customFormat="1" x14ac:dyDescent="0.25">
      <c r="A570" s="75"/>
      <c r="B570" s="75"/>
      <c r="C570" s="76"/>
      <c r="D570" s="76"/>
      <c r="E570" s="75"/>
      <c r="F570" s="75"/>
      <c r="G570" s="75"/>
      <c r="H570" s="75"/>
      <c r="I570" s="75"/>
      <c r="J570" s="75"/>
      <c r="K570" s="75"/>
      <c r="L570" s="75"/>
      <c r="M570" s="75"/>
      <c r="N570" s="75"/>
      <c r="O570" s="75"/>
      <c r="P570" s="75"/>
      <c r="Q570" s="75"/>
      <c r="R570" s="75"/>
      <c r="S570" s="75"/>
      <c r="T570" s="75"/>
      <c r="U570" s="75"/>
      <c r="V570" s="77"/>
      <c r="W570" s="75"/>
      <c r="X570" s="75"/>
      <c r="Y570" s="75"/>
      <c r="Z570" s="78"/>
      <c r="AA570" s="78"/>
      <c r="AB570" s="75"/>
      <c r="AJ570" s="72"/>
    </row>
    <row r="571" spans="1:36" s="69" customFormat="1" x14ac:dyDescent="0.25">
      <c r="A571" s="75"/>
      <c r="B571" s="75"/>
      <c r="C571" s="76"/>
      <c r="D571" s="76"/>
      <c r="E571" s="75"/>
      <c r="F571" s="75"/>
      <c r="G571" s="75"/>
      <c r="H571" s="75"/>
      <c r="I571" s="75"/>
      <c r="J571" s="75"/>
      <c r="K571" s="75"/>
      <c r="L571" s="75"/>
      <c r="M571" s="75"/>
      <c r="N571" s="75"/>
      <c r="O571" s="75"/>
      <c r="P571" s="75"/>
      <c r="Q571" s="75"/>
      <c r="R571" s="75"/>
      <c r="S571" s="75"/>
      <c r="T571" s="75"/>
      <c r="U571" s="75"/>
      <c r="V571" s="77"/>
      <c r="W571" s="75"/>
      <c r="X571" s="75"/>
      <c r="Y571" s="75"/>
      <c r="Z571" s="78"/>
      <c r="AA571" s="78"/>
      <c r="AB571" s="75"/>
      <c r="AJ571" s="72"/>
    </row>
    <row r="572" spans="1:36" s="69" customFormat="1" x14ac:dyDescent="0.25">
      <c r="B572" s="75"/>
      <c r="C572" s="76"/>
      <c r="D572" s="76"/>
      <c r="E572" s="75"/>
      <c r="F572" s="75"/>
      <c r="G572" s="75"/>
      <c r="H572" s="75"/>
      <c r="I572" s="75"/>
      <c r="J572" s="75"/>
      <c r="K572" s="75"/>
      <c r="L572" s="75"/>
      <c r="M572" s="75"/>
      <c r="N572" s="75"/>
      <c r="O572" s="75"/>
      <c r="P572" s="75"/>
      <c r="Q572" s="75"/>
      <c r="R572" s="75"/>
      <c r="S572" s="75"/>
      <c r="T572" s="75"/>
      <c r="U572" s="75"/>
      <c r="V572" s="77"/>
      <c r="W572" s="75"/>
      <c r="X572" s="75"/>
      <c r="Y572" s="75"/>
      <c r="Z572" s="78"/>
      <c r="AA572" s="78"/>
      <c r="AB572" s="75"/>
      <c r="AJ572" s="72"/>
    </row>
    <row r="573" spans="1:36" s="69" customFormat="1" x14ac:dyDescent="0.25">
      <c r="B573" s="75"/>
      <c r="C573" s="76"/>
      <c r="D573" s="76"/>
      <c r="E573" s="75"/>
      <c r="F573" s="75"/>
      <c r="G573" s="75"/>
      <c r="H573" s="75"/>
      <c r="I573" s="75"/>
      <c r="J573" s="75"/>
      <c r="K573" s="75"/>
      <c r="L573" s="75"/>
      <c r="M573" s="75"/>
      <c r="N573" s="75"/>
      <c r="O573" s="75"/>
      <c r="P573" s="75"/>
      <c r="Q573" s="75"/>
      <c r="R573" s="75"/>
      <c r="S573" s="75"/>
      <c r="T573" s="75"/>
      <c r="U573" s="75"/>
      <c r="V573" s="77"/>
      <c r="W573" s="75"/>
      <c r="X573" s="75"/>
      <c r="Y573" s="75"/>
      <c r="Z573" s="78"/>
      <c r="AA573" s="78"/>
      <c r="AB573" s="75"/>
      <c r="AJ573" s="72"/>
    </row>
    <row r="574" spans="1:36" s="69" customFormat="1" x14ac:dyDescent="0.25">
      <c r="B574" s="75"/>
      <c r="C574" s="76"/>
      <c r="D574" s="76"/>
      <c r="E574" s="75"/>
      <c r="F574" s="75"/>
      <c r="G574" s="75"/>
      <c r="H574" s="75"/>
      <c r="I574" s="75"/>
      <c r="J574" s="75"/>
      <c r="K574" s="75"/>
      <c r="L574" s="75"/>
      <c r="M574" s="75"/>
      <c r="N574" s="75"/>
      <c r="O574" s="75"/>
      <c r="P574" s="75"/>
      <c r="Q574" s="75"/>
      <c r="R574" s="75"/>
      <c r="S574" s="75"/>
      <c r="T574" s="75"/>
      <c r="U574" s="75"/>
      <c r="V574" s="77"/>
      <c r="W574" s="75"/>
      <c r="X574" s="75"/>
      <c r="Y574" s="75"/>
      <c r="Z574" s="78"/>
      <c r="AA574" s="78"/>
      <c r="AB574" s="75"/>
      <c r="AJ574" s="72"/>
    </row>
    <row r="575" spans="1:36" s="69" customFormat="1" x14ac:dyDescent="0.25">
      <c r="B575" s="75"/>
      <c r="C575" s="76"/>
      <c r="D575" s="76"/>
      <c r="E575" s="75"/>
      <c r="F575" s="75"/>
      <c r="G575" s="75"/>
      <c r="H575" s="75"/>
      <c r="I575" s="75"/>
      <c r="J575" s="75"/>
      <c r="K575" s="75"/>
      <c r="L575" s="75"/>
      <c r="M575" s="75"/>
      <c r="N575" s="75"/>
      <c r="O575" s="75"/>
      <c r="P575" s="75"/>
      <c r="Q575" s="75"/>
      <c r="R575" s="75"/>
      <c r="S575" s="75"/>
      <c r="T575" s="75"/>
      <c r="U575" s="75"/>
      <c r="V575" s="77"/>
      <c r="W575" s="75"/>
      <c r="X575" s="75"/>
      <c r="Y575" s="75"/>
      <c r="Z575" s="78"/>
      <c r="AA575" s="78"/>
      <c r="AB575" s="75"/>
      <c r="AJ575" s="72"/>
    </row>
    <row r="576" spans="1:36" s="69" customFormat="1" x14ac:dyDescent="0.25">
      <c r="B576" s="75"/>
      <c r="C576" s="76"/>
      <c r="D576" s="76"/>
      <c r="E576" s="75"/>
      <c r="F576" s="75"/>
      <c r="G576" s="75"/>
      <c r="H576" s="75"/>
      <c r="I576" s="75"/>
      <c r="J576" s="75"/>
      <c r="K576" s="75"/>
      <c r="L576" s="75"/>
      <c r="M576" s="75"/>
      <c r="N576" s="75"/>
      <c r="O576" s="75"/>
      <c r="P576" s="75"/>
      <c r="Q576" s="75"/>
      <c r="R576" s="75"/>
      <c r="S576" s="75"/>
      <c r="T576" s="75"/>
      <c r="U576" s="75"/>
      <c r="V576" s="77"/>
      <c r="W576" s="75"/>
      <c r="X576" s="75"/>
      <c r="Y576" s="75"/>
      <c r="Z576" s="78"/>
      <c r="AA576" s="78"/>
      <c r="AB576" s="75"/>
      <c r="AJ576" s="72"/>
    </row>
    <row r="577" spans="2:36" s="69" customFormat="1" x14ac:dyDescent="0.25">
      <c r="B577" s="75"/>
      <c r="C577" s="76"/>
      <c r="D577" s="76"/>
      <c r="E577" s="75"/>
      <c r="F577" s="75"/>
      <c r="G577" s="75"/>
      <c r="H577" s="75"/>
      <c r="I577" s="75"/>
      <c r="J577" s="75"/>
      <c r="K577" s="75"/>
      <c r="L577" s="75"/>
      <c r="M577" s="75"/>
      <c r="N577" s="75"/>
      <c r="O577" s="75"/>
      <c r="P577" s="75"/>
      <c r="Q577" s="75"/>
      <c r="R577" s="75"/>
      <c r="S577" s="75"/>
      <c r="T577" s="75"/>
      <c r="U577" s="75"/>
      <c r="V577" s="77"/>
      <c r="W577" s="75"/>
      <c r="X577" s="75"/>
      <c r="Y577" s="75"/>
      <c r="Z577" s="78"/>
      <c r="AA577" s="78"/>
      <c r="AB577" s="75"/>
      <c r="AJ577" s="72"/>
    </row>
    <row r="578" spans="2:36" s="69" customFormat="1" x14ac:dyDescent="0.25">
      <c r="B578" s="75"/>
      <c r="C578" s="76"/>
      <c r="D578" s="76"/>
      <c r="E578" s="75"/>
      <c r="F578" s="75"/>
      <c r="G578" s="75"/>
      <c r="H578" s="75"/>
      <c r="I578" s="75"/>
      <c r="J578" s="75"/>
      <c r="K578" s="75"/>
      <c r="L578" s="75"/>
      <c r="M578" s="75"/>
      <c r="N578" s="75"/>
      <c r="O578" s="75"/>
      <c r="P578" s="75"/>
      <c r="Q578" s="75"/>
      <c r="R578" s="75"/>
      <c r="S578" s="75"/>
      <c r="T578" s="75"/>
      <c r="U578" s="75"/>
      <c r="V578" s="77"/>
      <c r="W578" s="75"/>
      <c r="X578" s="75"/>
      <c r="Y578" s="75"/>
      <c r="Z578" s="78"/>
      <c r="AA578" s="78"/>
      <c r="AB578" s="75"/>
      <c r="AJ578" s="72"/>
    </row>
    <row r="579" spans="2:36" s="69" customFormat="1" x14ac:dyDescent="0.25">
      <c r="B579" s="75"/>
      <c r="C579" s="76"/>
      <c r="D579" s="76"/>
      <c r="E579" s="75"/>
      <c r="F579" s="75"/>
      <c r="G579" s="75"/>
      <c r="H579" s="75"/>
      <c r="I579" s="75"/>
      <c r="J579" s="75"/>
      <c r="K579" s="75"/>
      <c r="L579" s="75"/>
      <c r="M579" s="75"/>
      <c r="N579" s="75"/>
      <c r="O579" s="75"/>
      <c r="P579" s="75"/>
      <c r="Q579" s="75"/>
      <c r="R579" s="75"/>
      <c r="S579" s="75"/>
      <c r="T579" s="75"/>
      <c r="U579" s="75"/>
      <c r="V579" s="77"/>
      <c r="W579" s="75"/>
      <c r="X579" s="75"/>
      <c r="Y579" s="75"/>
      <c r="Z579" s="78"/>
      <c r="AA579" s="78"/>
      <c r="AB579" s="75"/>
      <c r="AJ579" s="72"/>
    </row>
    <row r="580" spans="2:36" s="69" customFormat="1" x14ac:dyDescent="0.25">
      <c r="B580" s="75"/>
      <c r="C580" s="76"/>
      <c r="D580" s="76"/>
      <c r="E580" s="75"/>
      <c r="F580" s="75"/>
      <c r="G580" s="75"/>
      <c r="H580" s="75"/>
      <c r="I580" s="75"/>
      <c r="J580" s="75"/>
      <c r="K580" s="75"/>
      <c r="L580" s="75"/>
      <c r="M580" s="75"/>
      <c r="N580" s="75"/>
      <c r="O580" s="75"/>
      <c r="P580" s="75"/>
      <c r="Q580" s="75"/>
      <c r="R580" s="75"/>
      <c r="S580" s="75"/>
      <c r="T580" s="75"/>
      <c r="U580" s="75"/>
      <c r="V580" s="77"/>
      <c r="W580" s="75"/>
      <c r="X580" s="75"/>
      <c r="Y580" s="75"/>
      <c r="Z580" s="78"/>
      <c r="AA580" s="78"/>
      <c r="AB580" s="75"/>
      <c r="AJ580" s="72"/>
    </row>
    <row r="581" spans="2:36" s="69" customFormat="1" x14ac:dyDescent="0.25">
      <c r="B581" s="75"/>
      <c r="C581" s="76"/>
      <c r="D581" s="76"/>
      <c r="E581" s="75"/>
      <c r="F581" s="75"/>
      <c r="G581" s="75"/>
      <c r="H581" s="75"/>
      <c r="I581" s="75"/>
      <c r="J581" s="75"/>
      <c r="K581" s="75"/>
      <c r="L581" s="75"/>
      <c r="M581" s="75"/>
      <c r="N581" s="75"/>
      <c r="O581" s="75"/>
      <c r="P581" s="75"/>
      <c r="Q581" s="75"/>
      <c r="R581" s="75"/>
      <c r="S581" s="75"/>
      <c r="T581" s="75"/>
      <c r="U581" s="75"/>
      <c r="V581" s="77"/>
      <c r="W581" s="75"/>
      <c r="X581" s="75"/>
      <c r="Y581" s="75"/>
      <c r="Z581" s="78"/>
      <c r="AA581" s="78"/>
      <c r="AB581" s="75"/>
      <c r="AJ581" s="72"/>
    </row>
    <row r="582" spans="2:36" s="69" customFormat="1" x14ac:dyDescent="0.25">
      <c r="B582" s="75"/>
      <c r="C582" s="76"/>
      <c r="D582" s="76"/>
      <c r="E582" s="75"/>
      <c r="F582" s="75"/>
      <c r="G582" s="75"/>
      <c r="H582" s="75"/>
      <c r="I582" s="75"/>
      <c r="J582" s="75"/>
      <c r="K582" s="75"/>
      <c r="L582" s="75"/>
      <c r="M582" s="75"/>
      <c r="N582" s="75"/>
      <c r="O582" s="75"/>
      <c r="P582" s="75"/>
      <c r="Q582" s="75"/>
      <c r="R582" s="75"/>
      <c r="S582" s="75"/>
      <c r="T582" s="75"/>
      <c r="U582" s="75"/>
      <c r="V582" s="77"/>
      <c r="W582" s="75"/>
      <c r="X582" s="75"/>
      <c r="Y582" s="75"/>
      <c r="Z582" s="78"/>
      <c r="AA582" s="78"/>
      <c r="AB582" s="75"/>
      <c r="AJ582" s="72"/>
    </row>
    <row r="583" spans="2:36" s="69" customFormat="1" x14ac:dyDescent="0.25">
      <c r="B583" s="75"/>
      <c r="C583" s="76"/>
      <c r="D583" s="76"/>
      <c r="E583" s="75"/>
      <c r="F583" s="75"/>
      <c r="G583" s="75"/>
      <c r="H583" s="75"/>
      <c r="I583" s="75"/>
      <c r="J583" s="75"/>
      <c r="K583" s="75"/>
      <c r="L583" s="75"/>
      <c r="M583" s="75"/>
      <c r="N583" s="75"/>
      <c r="O583" s="75"/>
      <c r="P583" s="75"/>
      <c r="Q583" s="75"/>
      <c r="R583" s="75"/>
      <c r="S583" s="75"/>
      <c r="T583" s="75"/>
      <c r="U583" s="75"/>
      <c r="V583" s="77"/>
      <c r="W583" s="75"/>
      <c r="X583" s="75"/>
      <c r="Y583" s="75"/>
      <c r="Z583" s="78"/>
      <c r="AA583" s="78"/>
      <c r="AB583" s="75"/>
      <c r="AJ583" s="72"/>
    </row>
    <row r="584" spans="2:36" s="69" customFormat="1" x14ac:dyDescent="0.25">
      <c r="B584" s="75"/>
      <c r="C584" s="76"/>
      <c r="D584" s="76"/>
      <c r="E584" s="75"/>
      <c r="F584" s="75"/>
      <c r="G584" s="75"/>
      <c r="H584" s="75"/>
      <c r="I584" s="75"/>
      <c r="J584" s="75"/>
      <c r="K584" s="75"/>
      <c r="L584" s="75"/>
      <c r="M584" s="75"/>
      <c r="N584" s="75"/>
      <c r="O584" s="75"/>
      <c r="P584" s="75"/>
      <c r="Q584" s="75"/>
      <c r="R584" s="75"/>
      <c r="S584" s="75"/>
      <c r="T584" s="75"/>
      <c r="U584" s="75"/>
      <c r="V584" s="77"/>
      <c r="W584" s="75"/>
      <c r="X584" s="75"/>
      <c r="Y584" s="75"/>
      <c r="Z584" s="78"/>
      <c r="AA584" s="78"/>
      <c r="AB584" s="75"/>
      <c r="AJ584" s="72"/>
    </row>
    <row r="585" spans="2:36" s="69" customFormat="1" x14ac:dyDescent="0.25">
      <c r="B585" s="75"/>
      <c r="C585" s="76"/>
      <c r="D585" s="76"/>
      <c r="E585" s="75"/>
      <c r="F585" s="75"/>
      <c r="G585" s="75"/>
      <c r="H585" s="75"/>
      <c r="I585" s="75"/>
      <c r="J585" s="75"/>
      <c r="K585" s="75"/>
      <c r="L585" s="75"/>
      <c r="M585" s="75"/>
      <c r="N585" s="75"/>
      <c r="O585" s="75"/>
      <c r="P585" s="75"/>
      <c r="Q585" s="75"/>
      <c r="R585" s="75"/>
      <c r="S585" s="75"/>
      <c r="T585" s="75"/>
      <c r="U585" s="75"/>
      <c r="V585" s="77"/>
      <c r="W585" s="75"/>
      <c r="X585" s="75"/>
      <c r="Y585" s="75"/>
      <c r="Z585" s="78"/>
      <c r="AA585" s="78"/>
      <c r="AB585" s="75"/>
      <c r="AJ585" s="72"/>
    </row>
    <row r="586" spans="2:36" s="69" customFormat="1" x14ac:dyDescent="0.25">
      <c r="B586" s="75"/>
      <c r="C586" s="76"/>
      <c r="D586" s="76"/>
      <c r="E586" s="75"/>
      <c r="F586" s="75"/>
      <c r="G586" s="75"/>
      <c r="H586" s="75"/>
      <c r="I586" s="75"/>
      <c r="J586" s="75"/>
      <c r="K586" s="75"/>
      <c r="L586" s="75"/>
      <c r="M586" s="75"/>
      <c r="N586" s="75"/>
      <c r="O586" s="75"/>
      <c r="P586" s="75"/>
      <c r="Q586" s="75"/>
      <c r="R586" s="75"/>
      <c r="S586" s="75"/>
      <c r="T586" s="75"/>
      <c r="U586" s="75"/>
      <c r="V586" s="77"/>
      <c r="W586" s="75"/>
      <c r="X586" s="75"/>
      <c r="Y586" s="75"/>
      <c r="Z586" s="78"/>
      <c r="AA586" s="78"/>
      <c r="AB586" s="75"/>
      <c r="AJ586" s="72"/>
    </row>
    <row r="587" spans="2:36" s="69" customFormat="1" x14ac:dyDescent="0.25">
      <c r="B587" s="75"/>
      <c r="C587" s="76"/>
      <c r="D587" s="76"/>
      <c r="E587" s="75"/>
      <c r="F587" s="75"/>
      <c r="G587" s="75"/>
      <c r="H587" s="75"/>
      <c r="I587" s="75"/>
      <c r="J587" s="75"/>
      <c r="K587" s="75"/>
      <c r="L587" s="75"/>
      <c r="M587" s="75"/>
      <c r="N587" s="75"/>
      <c r="O587" s="75"/>
      <c r="P587" s="75"/>
      <c r="Q587" s="75"/>
      <c r="R587" s="75"/>
      <c r="S587" s="75"/>
      <c r="T587" s="75"/>
      <c r="U587" s="75"/>
      <c r="V587" s="77"/>
      <c r="W587" s="75"/>
      <c r="X587" s="75"/>
      <c r="Y587" s="75"/>
      <c r="Z587" s="78"/>
      <c r="AA587" s="78"/>
      <c r="AB587" s="75"/>
      <c r="AJ587" s="72"/>
    </row>
    <row r="588" spans="2:36" s="69" customFormat="1" x14ac:dyDescent="0.25">
      <c r="B588" s="75"/>
      <c r="C588" s="76"/>
      <c r="D588" s="76"/>
      <c r="E588" s="75"/>
      <c r="F588" s="75"/>
      <c r="G588" s="75"/>
      <c r="H588" s="75"/>
      <c r="I588" s="75"/>
      <c r="J588" s="75"/>
      <c r="K588" s="75"/>
      <c r="L588" s="75"/>
      <c r="M588" s="75"/>
      <c r="N588" s="75"/>
      <c r="O588" s="75"/>
      <c r="P588" s="75"/>
      <c r="Q588" s="75"/>
      <c r="R588" s="75"/>
      <c r="S588" s="75"/>
      <c r="T588" s="75"/>
      <c r="U588" s="75"/>
      <c r="V588" s="77"/>
      <c r="W588" s="75"/>
      <c r="X588" s="75"/>
      <c r="Y588" s="75"/>
      <c r="Z588" s="78"/>
      <c r="AA588" s="78"/>
      <c r="AB588" s="75"/>
      <c r="AJ588" s="72"/>
    </row>
    <row r="589" spans="2:36" s="69" customFormat="1" x14ac:dyDescent="0.25">
      <c r="B589" s="75"/>
      <c r="C589" s="76"/>
      <c r="D589" s="76"/>
      <c r="E589" s="75"/>
      <c r="F589" s="75"/>
      <c r="G589" s="75"/>
      <c r="H589" s="75"/>
      <c r="I589" s="75"/>
      <c r="J589" s="75"/>
      <c r="K589" s="75"/>
      <c r="L589" s="75"/>
      <c r="M589" s="75"/>
      <c r="N589" s="75"/>
      <c r="O589" s="75"/>
      <c r="P589" s="75"/>
      <c r="Q589" s="75"/>
      <c r="R589" s="75"/>
      <c r="S589" s="75"/>
      <c r="T589" s="75"/>
      <c r="U589" s="75"/>
      <c r="V589" s="77"/>
      <c r="W589" s="75"/>
      <c r="X589" s="75"/>
      <c r="Y589" s="75"/>
      <c r="Z589" s="78"/>
      <c r="AA589" s="78"/>
      <c r="AB589" s="75"/>
      <c r="AJ589" s="72"/>
    </row>
    <row r="590" spans="2:36" s="69" customFormat="1" x14ac:dyDescent="0.25">
      <c r="B590" s="75"/>
      <c r="C590" s="76"/>
      <c r="D590" s="76"/>
      <c r="E590" s="75"/>
      <c r="F590" s="75"/>
      <c r="G590" s="75"/>
      <c r="H590" s="75"/>
      <c r="I590" s="75"/>
      <c r="J590" s="75"/>
      <c r="K590" s="75"/>
      <c r="L590" s="75"/>
      <c r="M590" s="75"/>
      <c r="N590" s="75"/>
      <c r="O590" s="75"/>
      <c r="P590" s="75"/>
      <c r="Q590" s="75"/>
      <c r="R590" s="75"/>
      <c r="S590" s="75"/>
      <c r="T590" s="75"/>
      <c r="U590" s="75"/>
      <c r="V590" s="77"/>
      <c r="W590" s="75"/>
      <c r="X590" s="75"/>
      <c r="Y590" s="75"/>
      <c r="Z590" s="78"/>
      <c r="AA590" s="78"/>
      <c r="AB590" s="75"/>
      <c r="AJ590" s="72"/>
    </row>
    <row r="591" spans="2:36" s="69" customFormat="1" x14ac:dyDescent="0.25">
      <c r="B591" s="75"/>
      <c r="C591" s="76"/>
      <c r="D591" s="76"/>
      <c r="E591" s="75"/>
      <c r="F591" s="75"/>
      <c r="G591" s="75"/>
      <c r="H591" s="75"/>
      <c r="I591" s="75"/>
      <c r="J591" s="75"/>
      <c r="K591" s="75"/>
      <c r="L591" s="75"/>
      <c r="M591" s="75"/>
      <c r="N591" s="75"/>
      <c r="O591" s="75"/>
      <c r="P591" s="75"/>
      <c r="Q591" s="75"/>
      <c r="R591" s="75"/>
      <c r="S591" s="75"/>
      <c r="T591" s="75"/>
      <c r="U591" s="75"/>
      <c r="V591" s="77"/>
      <c r="W591" s="75"/>
      <c r="X591" s="75"/>
      <c r="Y591" s="75"/>
      <c r="Z591" s="78"/>
      <c r="AA591" s="78"/>
      <c r="AB591" s="75"/>
      <c r="AJ591" s="72"/>
    </row>
    <row r="592" spans="2:36" s="69" customFormat="1" x14ac:dyDescent="0.25">
      <c r="B592" s="75"/>
      <c r="C592" s="76"/>
      <c r="D592" s="76"/>
      <c r="E592" s="75"/>
      <c r="F592" s="75"/>
      <c r="G592" s="75"/>
      <c r="H592" s="75"/>
      <c r="I592" s="75"/>
      <c r="J592" s="75"/>
      <c r="K592" s="75"/>
      <c r="L592" s="75"/>
      <c r="M592" s="75"/>
      <c r="N592" s="75"/>
      <c r="O592" s="75"/>
      <c r="P592" s="75"/>
      <c r="Q592" s="75"/>
      <c r="R592" s="75"/>
      <c r="S592" s="75"/>
      <c r="T592" s="75"/>
      <c r="U592" s="75"/>
      <c r="V592" s="77"/>
      <c r="W592" s="75"/>
      <c r="X592" s="75"/>
      <c r="Y592" s="75"/>
      <c r="Z592" s="78"/>
      <c r="AA592" s="78"/>
      <c r="AB592" s="75"/>
      <c r="AJ592" s="72"/>
    </row>
    <row r="593" spans="2:36" s="69" customFormat="1" x14ac:dyDescent="0.25">
      <c r="C593" s="70"/>
      <c r="D593" s="70"/>
      <c r="V593" s="71"/>
      <c r="Z593" s="73"/>
      <c r="AA593" s="73"/>
      <c r="AJ593" s="72"/>
    </row>
    <row r="594" spans="2:36" s="69" customFormat="1" x14ac:dyDescent="0.25">
      <c r="C594" s="70"/>
      <c r="D594" s="70"/>
      <c r="V594" s="71"/>
      <c r="Z594" s="73"/>
      <c r="AA594" s="73"/>
      <c r="AJ594" s="72"/>
    </row>
    <row r="595" spans="2:36" s="69" customFormat="1" x14ac:dyDescent="0.25">
      <c r="C595" s="70"/>
      <c r="D595" s="70"/>
      <c r="V595" s="71"/>
      <c r="Z595" s="73"/>
      <c r="AA595" s="73"/>
      <c r="AJ595" s="72"/>
    </row>
    <row r="596" spans="2:36" s="69" customFormat="1" x14ac:dyDescent="0.25">
      <c r="C596" s="70"/>
      <c r="D596" s="70"/>
      <c r="V596" s="71"/>
      <c r="Z596" s="73"/>
      <c r="AA596" s="73"/>
      <c r="AJ596" s="72"/>
    </row>
    <row r="597" spans="2:36" x14ac:dyDescent="0.25">
      <c r="B597" s="24"/>
      <c r="C597" s="25"/>
      <c r="D597" s="25"/>
      <c r="E597" s="24"/>
      <c r="F597" s="24"/>
      <c r="G597" s="24"/>
      <c r="H597" s="24"/>
      <c r="I597" s="24"/>
      <c r="J597" s="24"/>
      <c r="K597" s="24"/>
      <c r="L597" s="24"/>
      <c r="M597" s="24"/>
      <c r="N597" s="24"/>
      <c r="O597" s="24"/>
      <c r="P597" s="24"/>
      <c r="Q597" s="24"/>
      <c r="R597" s="24"/>
      <c r="S597" s="24"/>
      <c r="T597" s="24"/>
      <c r="U597" s="24"/>
      <c r="V597" s="26"/>
    </row>
    <row r="598" spans="2:36" x14ac:dyDescent="0.25">
      <c r="B598" s="24"/>
      <c r="C598" s="25"/>
      <c r="D598" s="25"/>
      <c r="E598" s="24"/>
      <c r="F598" s="24"/>
      <c r="G598" s="24"/>
      <c r="H598" s="24"/>
      <c r="I598" s="24"/>
      <c r="J598" s="24"/>
      <c r="K598" s="24"/>
      <c r="L598" s="24"/>
      <c r="M598" s="24"/>
      <c r="N598" s="24"/>
      <c r="O598" s="24"/>
      <c r="P598" s="24"/>
      <c r="Q598" s="24"/>
      <c r="R598" s="24"/>
      <c r="S598" s="24"/>
      <c r="T598" s="24"/>
      <c r="U598" s="24"/>
      <c r="V598" s="26"/>
    </row>
    <row r="599" spans="2:36" x14ac:dyDescent="0.25">
      <c r="B599" s="24"/>
      <c r="C599" s="25"/>
      <c r="D599" s="25"/>
      <c r="E599" s="24"/>
      <c r="F599" s="24"/>
      <c r="G599" s="24"/>
      <c r="H599" s="24"/>
      <c r="I599" s="24"/>
      <c r="J599" s="24"/>
      <c r="K599" s="24"/>
      <c r="L599" s="24"/>
      <c r="M599" s="24"/>
      <c r="N599" s="24"/>
      <c r="O599" s="24"/>
      <c r="P599" s="24"/>
      <c r="Q599" s="24"/>
      <c r="R599" s="24"/>
      <c r="S599" s="24"/>
      <c r="T599" s="24"/>
      <c r="U599" s="24"/>
      <c r="V599" s="26"/>
    </row>
    <row r="600" spans="2:36" x14ac:dyDescent="0.25">
      <c r="B600" s="24"/>
      <c r="C600" s="25"/>
      <c r="D600" s="25"/>
      <c r="E600" s="24"/>
      <c r="F600" s="24"/>
      <c r="G600" s="24"/>
      <c r="H600" s="24"/>
      <c r="I600" s="24"/>
      <c r="J600" s="24"/>
      <c r="K600" s="24"/>
      <c r="L600" s="24"/>
      <c r="M600" s="24"/>
      <c r="N600" s="24"/>
      <c r="O600" s="24"/>
      <c r="P600" s="24"/>
      <c r="Q600" s="24"/>
      <c r="R600" s="24"/>
      <c r="S600" s="24"/>
      <c r="T600" s="24"/>
      <c r="U600" s="24"/>
      <c r="V600" s="26"/>
    </row>
    <row r="601" spans="2:36" x14ac:dyDescent="0.25">
      <c r="B601" s="24"/>
      <c r="C601" s="25"/>
      <c r="D601" s="25"/>
      <c r="E601" s="24"/>
      <c r="F601" s="24"/>
      <c r="G601" s="24"/>
      <c r="H601" s="24"/>
      <c r="I601" s="24"/>
      <c r="J601" s="24"/>
      <c r="K601" s="24"/>
      <c r="L601" s="24"/>
      <c r="M601" s="24"/>
      <c r="N601" s="24"/>
      <c r="O601" s="24"/>
      <c r="P601" s="24"/>
      <c r="Q601" s="24"/>
      <c r="R601" s="24"/>
      <c r="S601" s="24"/>
      <c r="T601" s="24"/>
      <c r="U601" s="24"/>
      <c r="V601" s="26"/>
    </row>
    <row r="602" spans="2:36" x14ac:dyDescent="0.25">
      <c r="B602" s="24"/>
      <c r="C602" s="25"/>
      <c r="D602" s="25"/>
      <c r="E602" s="24"/>
      <c r="F602" s="24"/>
      <c r="G602" s="24"/>
      <c r="H602" s="24"/>
      <c r="I602" s="24"/>
      <c r="J602" s="24"/>
      <c r="K602" s="24"/>
      <c r="L602" s="24"/>
      <c r="M602" s="24"/>
      <c r="N602" s="24"/>
      <c r="O602" s="24"/>
      <c r="P602" s="24"/>
      <c r="Q602" s="24"/>
      <c r="R602" s="24"/>
      <c r="S602" s="24"/>
      <c r="T602" s="24"/>
      <c r="U602" s="24"/>
      <c r="V602" s="26"/>
    </row>
  </sheetData>
  <sheetProtection selectLockedCells="1"/>
  <mergeCells count="25">
    <mergeCell ref="I332:J332"/>
    <mergeCell ref="K332:L332"/>
    <mergeCell ref="O332:P332"/>
    <mergeCell ref="Q332:U332"/>
    <mergeCell ref="I333:J333"/>
    <mergeCell ref="K333:L333"/>
    <mergeCell ref="O333:P333"/>
    <mergeCell ref="Q333:U333"/>
    <mergeCell ref="O6:P6"/>
    <mergeCell ref="Q6:U6"/>
    <mergeCell ref="E326:G326"/>
    <mergeCell ref="I331:J331"/>
    <mergeCell ref="K331:L331"/>
    <mergeCell ref="O331:P331"/>
    <mergeCell ref="Q331:U331"/>
    <mergeCell ref="B2:V2"/>
    <mergeCell ref="E4:V4"/>
    <mergeCell ref="E5:G6"/>
    <mergeCell ref="I5:J5"/>
    <mergeCell ref="K5:L5"/>
    <mergeCell ref="O5:P5"/>
    <mergeCell ref="Q5:U5"/>
    <mergeCell ref="V5:V6"/>
    <mergeCell ref="I6:J6"/>
    <mergeCell ref="K6:L6"/>
  </mergeCells>
  <conditionalFormatting sqref="G8:G325">
    <cfRule type="expression" dxfId="49" priority="6">
      <formula>$G8&lt;&gt;""</formula>
    </cfRule>
  </conditionalFormatting>
  <conditionalFormatting sqref="M332:O332 K332 H332:I332 Q332">
    <cfRule type="cellIs" dxfId="48" priority="3" operator="greaterThanOrEqual">
      <formula>0.9</formula>
    </cfRule>
    <cfRule type="cellIs" dxfId="47" priority="4" operator="between">
      <formula>0.00001</formula>
      <formula>0.499999</formula>
    </cfRule>
    <cfRule type="cellIs" dxfId="46" priority="5" operator="between">
      <formula>0.5</formula>
      <formula>0.89999</formula>
    </cfRule>
  </conditionalFormatting>
  <conditionalFormatting sqref="K332:K333 H332:I332 M332:O333 Q332:Q333">
    <cfRule type="containsErrors" dxfId="45" priority="7">
      <formula>ISERROR(H332)</formula>
    </cfRule>
  </conditionalFormatting>
  <conditionalFormatting sqref="H333:I333">
    <cfRule type="containsErrors" dxfId="44" priority="2">
      <formula>ISERROR(H333)</formula>
    </cfRule>
  </conditionalFormatting>
  <conditionalFormatting sqref="G8:G325">
    <cfRule type="expression" dxfId="43" priority="1">
      <formula>$G8=FALSE</formula>
    </cfRule>
  </conditionalFormatting>
  <pageMargins left="0.25" right="0.25" top="0.75" bottom="0.75" header="0.3" footer="0.3"/>
  <pageSetup scale="78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D807C5FB-7B71-48B4-807D-BE4FAEE1097A}">
          <x14:formula1>
            <xm:f>Données!$N$1:$N$4</xm:f>
          </x14:formula1>
          <xm:sqref>G8 G11</xm:sqref>
        </x14:dataValidation>
        <x14:dataValidation type="list" allowBlank="1" showInputMessage="1" showErrorMessage="1" xr:uid="{9729F00E-67B5-4837-8F9C-8964C562AB8D}">
          <x14:formula1>
            <xm:f>Données!$N$1:$N$4</xm:f>
          </x14:formula1>
          <xm:sqref>G9:G10 G12:G325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Accueil</vt:lpstr>
      <vt:lpstr>Portail d'objectifs</vt:lpstr>
      <vt:lpstr>Données</vt:lpstr>
      <vt:lpstr>Sommaire</vt:lpstr>
      <vt:lpstr>Coordos</vt:lpstr>
      <vt:lpstr>#1</vt:lpstr>
      <vt:lpstr>#2</vt:lpstr>
      <vt:lpstr>#4</vt:lpstr>
      <vt:lpstr>#5</vt:lpstr>
      <vt:lpstr>#6</vt:lpstr>
      <vt:lpstr>'#1'!Zone_d_impression</vt:lpstr>
      <vt:lpstr>'#2'!Zone_d_impression</vt:lpstr>
      <vt:lpstr>'#4'!Zone_d_impression</vt:lpstr>
      <vt:lpstr>'#5'!Zone_d_impression</vt:lpstr>
      <vt:lpstr>'#6'!Zone_d_impression</vt:lpstr>
      <vt:lpstr>'Portail d''objectifs'!Zone_d_impression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Jacqueline Germain</dc:creator>
  <cp:lastModifiedBy>Mathieu Dubreuil</cp:lastModifiedBy>
  <cp:lastPrinted>2020-01-16T16:13:45Z</cp:lastPrinted>
  <dcterms:created xsi:type="dcterms:W3CDTF">2019-10-30T22:57:10Z</dcterms:created>
  <dcterms:modified xsi:type="dcterms:W3CDTF">2020-01-20T14:51:27Z</dcterms:modified>
</cp:coreProperties>
</file>